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an\Documents\zzzzzzzzzzzzzzzzzzRO In Lisbon 2019\"/>
    </mc:Choice>
  </mc:AlternateContent>
  <xr:revisionPtr revIDLastSave="0" documentId="13_ncr:1_{E3C8BAB5-F923-4F62-8C34-9997EDBAE41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GUIDE" sheetId="1" r:id="rId1"/>
    <sheet name="INTRINSIC CALL" sheetId="15" r:id="rId2"/>
    <sheet name="CALL OPTION" sheetId="14" r:id="rId3"/>
    <sheet name="BINOMIAL_CALL" sheetId="76" r:id="rId4"/>
    <sheet name="BINOMIAL_PUT" sheetId="75" r:id="rId5"/>
    <sheet name="BINOMIAL_CALL_PUT" sheetId="11" r:id="rId6"/>
    <sheet name="CALL_TIME" sheetId="10" r:id="rId7"/>
    <sheet name="CALL_VOLATILITY" sheetId="9" r:id="rId8"/>
    <sheet name="BLACK_SCHOLES" sheetId="8" r:id="rId9"/>
    <sheet name="DEFERRAL" sheetId="28" r:id="rId10"/>
    <sheet name="GROWTH" sheetId="27" r:id="rId11"/>
    <sheet name="EXCHANGE" sheetId="26" r:id="rId12"/>
    <sheet name="HEDGING1" sheetId="25" r:id="rId13"/>
    <sheet name="STRATEGY1" sheetId="24" r:id="rId14"/>
    <sheet name="STRATEGY2" sheetId="23" r:id="rId15"/>
    <sheet name="STRATEGY3" sheetId="22" r:id="rId16"/>
    <sheet name="STRATEGY4" sheetId="21" r:id="rId17"/>
    <sheet name="Protect" sheetId="83" r:id="rId18"/>
    <sheet name="STRATEGY5" sheetId="20" r:id="rId19"/>
    <sheet name="RENOVATION" sheetId="81" r:id="rId20"/>
    <sheet name="RENOVATION_REQD" sheetId="80" r:id="rId21"/>
    <sheet name="SHARING" sheetId="78" r:id="rId22"/>
    <sheet name="SAMUELSON1" sheetId="18" r:id="rId23"/>
    <sheet name="SAMUELSON2" sheetId="17" r:id="rId24"/>
    <sheet name="VOLATILITY" sheetId="16" r:id="rId25"/>
    <sheet name="DELTA,GAMMA" sheetId="33" r:id="rId26"/>
    <sheet name="AMER_PERP" sheetId="32" r:id="rId27"/>
    <sheet name="Tourinho" sheetId="84" r:id="rId28"/>
    <sheet name="Sheet2" sheetId="85" r:id="rId29"/>
  </sheets>
  <externalReferences>
    <externalReference r:id="rId30"/>
    <externalReference r:id="rId31"/>
    <externalReference r:id="rId32"/>
    <externalReference r:id="rId33"/>
  </externalReferences>
  <definedNames>
    <definedName name="__123Graph_A" hidden="1">[1]BARRIER!$B$10:$H$10</definedName>
    <definedName name="__123Graph_ADELTA" hidden="1">[1]BARRIER!$B$18:$H$18</definedName>
    <definedName name="__123Graph_AEXERCISE" hidden="1">[1]BARRIER!$B$10:$H$10</definedName>
    <definedName name="__123Graph_ARATE" hidden="1">[1]BARRIER!$B$10:$H$10</definedName>
    <definedName name="__123Graph_ASTOCK" hidden="1">[1]BARRIER!$B$10:$H$10</definedName>
    <definedName name="__123Graph_ATIME" hidden="1">[1]BARRIER!$B$10:$H$10</definedName>
    <definedName name="__123Graph_AVOLATILITY" hidden="1">[1]BARRIER!$B$10:$H$10</definedName>
    <definedName name="__123Graph_B" hidden="1">[1]BARRIER!$B$13:$H$13</definedName>
    <definedName name="__123Graph_C" hidden="1">[1]BARRIER!$B$14:$H$14</definedName>
    <definedName name="__123Graph_X" hidden="1">[1]BARRIER!$B$5:$H$5</definedName>
    <definedName name="__123Graph_XDELTA" hidden="1">[1]BARRIER!$B$5:$H$5</definedName>
    <definedName name="__123Graph_XEXERCISE" hidden="1">[1]BARRIER!$B$6:$H$6</definedName>
    <definedName name="__123Graph_XRATE" hidden="1">[1]BARRIER!$B$8:$H$8</definedName>
    <definedName name="__123Graph_XSTOCK" hidden="1">[1]BARRIER!$B$5:$H$5</definedName>
    <definedName name="__123Graph_XTIME" hidden="1">[1]BARRIER!$B$7:$H$7</definedName>
    <definedName name="__123Graph_XVOLATILITY" hidden="1">[1]BARRIER!$B$9:$H$9</definedName>
    <definedName name="Correlation">#REF!</definedName>
    <definedName name="COST">#REF!</definedName>
    <definedName name="COST1">[2]GROWTH!$B$6</definedName>
    <definedName name="COST2">[2]GROWTH!$B$13</definedName>
    <definedName name="ETA">#REF!</definedName>
    <definedName name="HURDLE">#REF!</definedName>
    <definedName name="N_d1">[2]GROWTH!$B$22</definedName>
    <definedName name="N_d2">[2]GROWTH!$B$23</definedName>
    <definedName name="RATE">[2]GROWTH!$B$15</definedName>
    <definedName name="RISKFREE">#REF!</definedName>
    <definedName name="solver_adj" localSheetId="27" hidden="1">Tourinho!$B$20:$B$21</definedName>
    <definedName name="solver_cvg" localSheetId="27" hidden="1">0.0001</definedName>
    <definedName name="solver_drv" localSheetId="27" hidden="1">1</definedName>
    <definedName name="solver_eng" localSheetId="27" hidden="1">1</definedName>
    <definedName name="solver_est" localSheetId="27" hidden="1">1</definedName>
    <definedName name="solver_itr" localSheetId="27" hidden="1">2147483647</definedName>
    <definedName name="solver_lhs1" localSheetId="27" hidden="1">Tourinho!$B$26</definedName>
    <definedName name="solver_lhs2" localSheetId="27" hidden="1">Tourinho!$B$26</definedName>
    <definedName name="solver_mip" localSheetId="27" hidden="1">2147483647</definedName>
    <definedName name="solver_mni" localSheetId="27" hidden="1">30</definedName>
    <definedName name="solver_mrt" localSheetId="27" hidden="1">0.075</definedName>
    <definedName name="solver_msl" localSheetId="27" hidden="1">2</definedName>
    <definedName name="solver_neg" localSheetId="27" hidden="1">2</definedName>
    <definedName name="solver_nod" localSheetId="27" hidden="1">2147483647</definedName>
    <definedName name="solver_num" localSheetId="27" hidden="1">2</definedName>
    <definedName name="solver_nwt" localSheetId="27" hidden="1">1</definedName>
    <definedName name="solver_opt" localSheetId="27" hidden="1">Tourinho!$B$28</definedName>
    <definedName name="solver_pre" localSheetId="27" hidden="1">0.000001</definedName>
    <definedName name="solver_rbv" localSheetId="27" hidden="1">1</definedName>
    <definedName name="solver_rel1" localSheetId="27" hidden="1">2</definedName>
    <definedName name="solver_rel2" localSheetId="27" hidden="1">2</definedName>
    <definedName name="solver_rhs1" localSheetId="27" hidden="1">Tourinho!$B$27</definedName>
    <definedName name="solver_rhs2" localSheetId="27" hidden="1">0</definedName>
    <definedName name="solver_rlx" localSheetId="27" hidden="1">2</definedName>
    <definedName name="solver_rsd" localSheetId="27" hidden="1">0</definedName>
    <definedName name="solver_scl" localSheetId="27" hidden="1">1</definedName>
    <definedName name="solver_sho" localSheetId="27" hidden="1">2</definedName>
    <definedName name="solver_ssz" localSheetId="27" hidden="1">100</definedName>
    <definedName name="solver_tim" localSheetId="27" hidden="1">2147483647</definedName>
    <definedName name="solver_tol" localSheetId="27" hidden="1">0.01</definedName>
    <definedName name="solver_typ" localSheetId="27" hidden="1">2</definedName>
    <definedName name="solver_val" localSheetId="27" hidden="1">0</definedName>
    <definedName name="solver_ver" localSheetId="27" hidden="1">3</definedName>
    <definedName name="TIME">[2]GROWTH!$B$14</definedName>
    <definedName name="VALUE">#REF!</definedName>
    <definedName name="VOL">#REF!</definedName>
    <definedName name="YIELD_RATE">#REF!</definedName>
  </definedNames>
  <calcPr calcId="181029"/>
  <customWorkbookViews>
    <customWorkbookView name="Dean A. Paxson - Personal View" guid="{5EBE86A6-E484-4409-9173-9C7E8878B5E9}" mergeInterval="0" personalView="1" maximized="1" windowWidth="1020" windowHeight="604" activeSheetId="1"/>
  </customWorkbookViews>
</workbook>
</file>

<file path=xl/calcChain.xml><?xml version="1.0" encoding="utf-8"?>
<calcChain xmlns="http://schemas.openxmlformats.org/spreadsheetml/2006/main">
  <c r="B3" i="28" l="1"/>
  <c r="B12" i="28" s="1"/>
  <c r="B14" i="28" l="1"/>
  <c r="B13" i="28"/>
  <c r="B15" i="28" s="1"/>
  <c r="B19" i="84"/>
  <c r="B17" i="84"/>
  <c r="B6" i="84"/>
  <c r="B18" i="84" s="1"/>
  <c r="B10" i="28" l="1"/>
  <c r="B13" i="84"/>
  <c r="B14" i="84" l="1"/>
  <c r="B15" i="84" s="1"/>
  <c r="B16" i="84" l="1"/>
  <c r="B27" i="84" s="1"/>
  <c r="B22" i="84" l="1"/>
  <c r="B26" i="84"/>
  <c r="B28" i="84" s="1"/>
  <c r="B23" i="84" l="1"/>
  <c r="B25" i="84" s="1"/>
  <c r="B24" i="84" l="1"/>
  <c r="B2" i="83" l="1"/>
  <c r="C6" i="83"/>
  <c r="D6" i="83" s="1"/>
  <c r="A16" i="83"/>
  <c r="A15" i="83"/>
  <c r="E9" i="83"/>
  <c r="F9" i="83" s="1"/>
  <c r="G9" i="83" s="1"/>
  <c r="H9" i="83" s="1"/>
  <c r="I9" i="83" s="1"/>
  <c r="J9" i="83" s="1"/>
  <c r="K9" i="83" s="1"/>
  <c r="L9" i="83" s="1"/>
  <c r="B8" i="83"/>
  <c r="B5" i="83" l="1"/>
  <c r="D2" i="83"/>
  <c r="D4" i="83" s="1"/>
  <c r="E6" i="83"/>
  <c r="F6" i="83" s="1"/>
  <c r="G6" i="83" s="1"/>
  <c r="H6" i="83" s="1"/>
  <c r="I6" i="83" s="1"/>
  <c r="J6" i="83" s="1"/>
  <c r="K6" i="83" s="1"/>
  <c r="L6" i="83" s="1"/>
  <c r="M6" i="83" s="1"/>
  <c r="N6" i="83" s="1"/>
  <c r="N2" i="83" s="1"/>
  <c r="C2" i="83"/>
  <c r="C5" i="83" s="1"/>
  <c r="B4" i="83"/>
  <c r="B3" i="83" s="1"/>
  <c r="E2" i="83"/>
  <c r="I2" i="83"/>
  <c r="M2" i="83"/>
  <c r="H2" i="83"/>
  <c r="L2" i="83"/>
  <c r="G2" i="83"/>
  <c r="K2" i="83"/>
  <c r="F2" i="83"/>
  <c r="J2" i="83"/>
  <c r="D5" i="83"/>
  <c r="D3" i="83" l="1"/>
  <c r="C4" i="83"/>
  <c r="C3" i="83" s="1"/>
  <c r="E4" i="83"/>
  <c r="E5" i="83"/>
  <c r="E3" i="83" l="1"/>
  <c r="F5" i="83"/>
  <c r="F4" i="83"/>
  <c r="B7" i="23"/>
  <c r="A9" i="80"/>
  <c r="E5" i="80"/>
  <c r="F5" i="80" s="1"/>
  <c r="G5" i="80" s="1"/>
  <c r="H5" i="80" s="1"/>
  <c r="I5" i="80" s="1"/>
  <c r="J5" i="80" s="1"/>
  <c r="K5" i="80" s="1"/>
  <c r="L5" i="80" s="1"/>
  <c r="M5" i="80" s="1"/>
  <c r="N5" i="80" s="1"/>
  <c r="B2" i="80"/>
  <c r="B3" i="80" s="1"/>
  <c r="A9" i="81"/>
  <c r="E5" i="81"/>
  <c r="F5" i="81" s="1"/>
  <c r="G5" i="81" s="1"/>
  <c r="H5" i="81" s="1"/>
  <c r="I5" i="81" s="1"/>
  <c r="J5" i="81" s="1"/>
  <c r="K5" i="81" s="1"/>
  <c r="L5" i="81" s="1"/>
  <c r="M5" i="81" s="1"/>
  <c r="N5" i="81" s="1"/>
  <c r="B2" i="81"/>
  <c r="B3" i="81" s="1"/>
  <c r="B4" i="81" s="1"/>
  <c r="B11" i="26"/>
  <c r="B15" i="26" s="1"/>
  <c r="C2" i="80" l="1"/>
  <c r="C3" i="80" s="1"/>
  <c r="B17" i="26"/>
  <c r="B13" i="26" s="1"/>
  <c r="B16" i="26"/>
  <c r="B18" i="26" s="1"/>
  <c r="F3" i="83"/>
  <c r="G5" i="83"/>
  <c r="G4" i="83"/>
  <c r="B4" i="80"/>
  <c r="C4" i="80"/>
  <c r="D2" i="80"/>
  <c r="D3" i="80" s="1"/>
  <c r="C2" i="81"/>
  <c r="C3" i="81" s="1"/>
  <c r="C4" i="81" s="1"/>
  <c r="G3" i="83" l="1"/>
  <c r="H4" i="83"/>
  <c r="H5" i="83"/>
  <c r="D4" i="80"/>
  <c r="E2" i="80"/>
  <c r="E3" i="80" s="1"/>
  <c r="D2" i="81"/>
  <c r="D3" i="81" s="1"/>
  <c r="D4" i="81" s="1"/>
  <c r="A19" i="78"/>
  <c r="A18" i="78"/>
  <c r="A17" i="78"/>
  <c r="A16" i="78"/>
  <c r="A15" i="78"/>
  <c r="C9" i="78"/>
  <c r="B14" i="78"/>
  <c r="B13" i="78"/>
  <c r="B7" i="78"/>
  <c r="Y12" i="78" s="1"/>
  <c r="Z12" i="78"/>
  <c r="K12" i="78"/>
  <c r="B5" i="75"/>
  <c r="C13" i="75" s="1"/>
  <c r="C21" i="75" s="1"/>
  <c r="B6" i="75"/>
  <c r="C15" i="75" s="1"/>
  <c r="C23" i="75" s="1"/>
  <c r="A10" i="75"/>
  <c r="A9" i="75"/>
  <c r="A8" i="75"/>
  <c r="B5" i="76"/>
  <c r="B6" i="76" s="1"/>
  <c r="B6" i="20"/>
  <c r="B7" i="20"/>
  <c r="B9" i="20"/>
  <c r="B3" i="20" s="1"/>
  <c r="B10" i="20"/>
  <c r="C2" i="25"/>
  <c r="D2" i="25" s="1"/>
  <c r="E2" i="25" s="1"/>
  <c r="F2" i="25" s="1"/>
  <c r="G2" i="25" s="1"/>
  <c r="H2" i="25" s="1"/>
  <c r="I2" i="25" s="1"/>
  <c r="J2" i="25" s="1"/>
  <c r="K2" i="25" s="1"/>
  <c r="L2" i="25" s="1"/>
  <c r="M2" i="25" s="1"/>
  <c r="N2" i="25" s="1"/>
  <c r="B3" i="24"/>
  <c r="C2" i="24"/>
  <c r="C3" i="24" s="1"/>
  <c r="C13" i="76"/>
  <c r="C21" i="76" s="1"/>
  <c r="A10" i="76"/>
  <c r="A9" i="76"/>
  <c r="A8" i="76"/>
  <c r="B13" i="32"/>
  <c r="B11" i="32" s="1"/>
  <c r="B10" i="32"/>
  <c r="C8" i="33"/>
  <c r="D8" i="33" s="1"/>
  <c r="E8" i="33" s="1"/>
  <c r="C9" i="33"/>
  <c r="D9" i="33" s="1"/>
  <c r="C7" i="33"/>
  <c r="D7" i="33" s="1"/>
  <c r="E7" i="33" s="1"/>
  <c r="F7" i="33" s="1"/>
  <c r="G7" i="33" s="1"/>
  <c r="C5" i="33"/>
  <c r="B16" i="33"/>
  <c r="B14" i="33" s="1"/>
  <c r="B15" i="33" s="1"/>
  <c r="A26" i="33"/>
  <c r="A25" i="33"/>
  <c r="A24" i="33"/>
  <c r="B12" i="33"/>
  <c r="J17" i="16"/>
  <c r="I17" i="16"/>
  <c r="H17" i="16"/>
  <c r="G17" i="16"/>
  <c r="F17" i="16"/>
  <c r="E17" i="16"/>
  <c r="D17" i="16"/>
  <c r="C17" i="16"/>
  <c r="B17" i="16"/>
  <c r="C7" i="16"/>
  <c r="D7" i="16"/>
  <c r="E7" i="16" s="1"/>
  <c r="C12" i="16"/>
  <c r="C15" i="16" s="1"/>
  <c r="B12" i="16"/>
  <c r="A18" i="17"/>
  <c r="A17" i="17"/>
  <c r="C9" i="17"/>
  <c r="D9" i="17" s="1"/>
  <c r="D15" i="17" s="1"/>
  <c r="B12" i="17"/>
  <c r="B16" i="17" s="1"/>
  <c r="B15" i="17"/>
  <c r="B13" i="17"/>
  <c r="B14" i="17" s="1"/>
  <c r="B12" i="18"/>
  <c r="B16" i="18" s="1"/>
  <c r="B15" i="18"/>
  <c r="A14" i="20"/>
  <c r="A13" i="20"/>
  <c r="E8" i="20"/>
  <c r="F8" i="20" s="1"/>
  <c r="G8" i="20" s="1"/>
  <c r="H8" i="20" s="1"/>
  <c r="I8" i="20" s="1"/>
  <c r="J8" i="20" s="1"/>
  <c r="K8" i="20" s="1"/>
  <c r="L8" i="20" s="1"/>
  <c r="C2" i="20"/>
  <c r="A10" i="21"/>
  <c r="B7" i="21"/>
  <c r="E6" i="21"/>
  <c r="F6" i="21" s="1"/>
  <c r="G6" i="21" s="1"/>
  <c r="H6" i="21" s="1"/>
  <c r="I6" i="21" s="1"/>
  <c r="J6" i="21" s="1"/>
  <c r="K6" i="21" s="1"/>
  <c r="L6" i="21" s="1"/>
  <c r="M6" i="21" s="1"/>
  <c r="N6" i="21" s="1"/>
  <c r="B2" i="21"/>
  <c r="A10" i="22"/>
  <c r="A9" i="22"/>
  <c r="E5" i="22"/>
  <c r="F5" i="22" s="1"/>
  <c r="G5" i="22" s="1"/>
  <c r="H5" i="22" s="1"/>
  <c r="I5" i="22" s="1"/>
  <c r="J5" i="22" s="1"/>
  <c r="K5" i="22" s="1"/>
  <c r="L5" i="22" s="1"/>
  <c r="M5" i="22" s="1"/>
  <c r="N5" i="22" s="1"/>
  <c r="B2" i="22"/>
  <c r="B3" i="22" s="1"/>
  <c r="B4" i="22" s="1"/>
  <c r="A10" i="23"/>
  <c r="E6" i="23"/>
  <c r="F6" i="23" s="1"/>
  <c r="G6" i="23" s="1"/>
  <c r="H6" i="23" s="1"/>
  <c r="I6" i="23" s="1"/>
  <c r="J6" i="23" s="1"/>
  <c r="K6" i="23" s="1"/>
  <c r="L6" i="23" s="1"/>
  <c r="M6" i="23" s="1"/>
  <c r="N6" i="23" s="1"/>
  <c r="C2" i="23"/>
  <c r="B3" i="23"/>
  <c r="B4" i="23"/>
  <c r="B7" i="24"/>
  <c r="C4" i="24" s="1"/>
  <c r="C5" i="24" s="1"/>
  <c r="E6" i="24"/>
  <c r="F6" i="24"/>
  <c r="G6" i="24" s="1"/>
  <c r="H6" i="24" s="1"/>
  <c r="I6" i="24" s="1"/>
  <c r="J6" i="24" s="1"/>
  <c r="K6" i="24" s="1"/>
  <c r="L6" i="24" s="1"/>
  <c r="M6" i="24" s="1"/>
  <c r="N6" i="24" s="1"/>
  <c r="A10" i="25"/>
  <c r="B7" i="25"/>
  <c r="B4" i="25" s="1"/>
  <c r="B5" i="25" s="1"/>
  <c r="E6" i="25"/>
  <c r="F6" i="25" s="1"/>
  <c r="G6" i="25" s="1"/>
  <c r="H6" i="25" s="1"/>
  <c r="I6" i="25" s="1"/>
  <c r="J6" i="25" s="1"/>
  <c r="K6" i="25" s="1"/>
  <c r="L6" i="25" s="1"/>
  <c r="M6" i="25" s="1"/>
  <c r="N6" i="25" s="1"/>
  <c r="B3" i="25"/>
  <c r="C3" i="25" s="1"/>
  <c r="B8" i="27"/>
  <c r="B12" i="27"/>
  <c r="B14" i="27" s="1"/>
  <c r="A16" i="28"/>
  <c r="B15" i="8"/>
  <c r="B16" i="8" s="1"/>
  <c r="B18" i="8" s="1"/>
  <c r="B13" i="8"/>
  <c r="C1" i="9"/>
  <c r="D1" i="9"/>
  <c r="E1" i="9" s="1"/>
  <c r="C2" i="9"/>
  <c r="D2" i="9" s="1"/>
  <c r="E2" i="9" s="1"/>
  <c r="F2" i="9" s="1"/>
  <c r="G2" i="9" s="1"/>
  <c r="H2" i="9" s="1"/>
  <c r="I2" i="9" s="1"/>
  <c r="J2" i="9" s="1"/>
  <c r="K2" i="9" s="1"/>
  <c r="L2" i="9" s="1"/>
  <c r="M2" i="9" s="1"/>
  <c r="N2" i="9" s="1"/>
  <c r="C3" i="9"/>
  <c r="C4" i="9"/>
  <c r="D4" i="9" s="1"/>
  <c r="E4" i="9" s="1"/>
  <c r="F4" i="9" s="1"/>
  <c r="G4" i="9" s="1"/>
  <c r="H4" i="9" s="1"/>
  <c r="I4" i="9" s="1"/>
  <c r="J4" i="9" s="1"/>
  <c r="K4" i="9" s="1"/>
  <c r="L4" i="9" s="1"/>
  <c r="M4" i="9" s="1"/>
  <c r="N4" i="9" s="1"/>
  <c r="C5" i="9"/>
  <c r="D5" i="9" s="1"/>
  <c r="E5" i="9" s="1"/>
  <c r="F5" i="9" s="1"/>
  <c r="G5" i="9" s="1"/>
  <c r="H5" i="9" s="1"/>
  <c r="I5" i="9" s="1"/>
  <c r="J5" i="9" s="1"/>
  <c r="K5" i="9" s="1"/>
  <c r="L5" i="9" s="1"/>
  <c r="M5" i="9" s="1"/>
  <c r="N5" i="9" s="1"/>
  <c r="B9" i="9"/>
  <c r="B7" i="9"/>
  <c r="C1" i="10"/>
  <c r="D1" i="10" s="1"/>
  <c r="E1" i="10" s="1"/>
  <c r="F1" i="10" s="1"/>
  <c r="G1" i="10" s="1"/>
  <c r="H1" i="10" s="1"/>
  <c r="C2" i="10"/>
  <c r="D2" i="10" s="1"/>
  <c r="D7" i="10" s="1"/>
  <c r="C3" i="10"/>
  <c r="D3" i="10" s="1"/>
  <c r="E3" i="10" s="1"/>
  <c r="F3" i="10" s="1"/>
  <c r="G3" i="10" s="1"/>
  <c r="H3" i="10" s="1"/>
  <c r="I3" i="10" s="1"/>
  <c r="J3" i="10" s="1"/>
  <c r="K3" i="10" s="1"/>
  <c r="L3" i="10" s="1"/>
  <c r="M3" i="10" s="1"/>
  <c r="N3" i="10" s="1"/>
  <c r="C4" i="10"/>
  <c r="D4" i="10" s="1"/>
  <c r="E4" i="10" s="1"/>
  <c r="F4" i="10" s="1"/>
  <c r="G4" i="10" s="1"/>
  <c r="H4" i="10" s="1"/>
  <c r="I4" i="10" s="1"/>
  <c r="J4" i="10" s="1"/>
  <c r="K4" i="10" s="1"/>
  <c r="L4" i="10" s="1"/>
  <c r="M4" i="10" s="1"/>
  <c r="N4" i="10" s="1"/>
  <c r="C5" i="10"/>
  <c r="D5" i="10" s="1"/>
  <c r="E5" i="10" s="1"/>
  <c r="F5" i="10" s="1"/>
  <c r="G5" i="10" s="1"/>
  <c r="H5" i="10" s="1"/>
  <c r="I5" i="10" s="1"/>
  <c r="J5" i="10" s="1"/>
  <c r="K5" i="10" s="1"/>
  <c r="L5" i="10" s="1"/>
  <c r="M5" i="10" s="1"/>
  <c r="N5" i="10" s="1"/>
  <c r="B9" i="10"/>
  <c r="B10" i="10" s="1"/>
  <c r="B12" i="10" s="1"/>
  <c r="B7" i="10"/>
  <c r="F6" i="11"/>
  <c r="C5" i="11"/>
  <c r="C9" i="11"/>
  <c r="F7" i="11"/>
  <c r="C11" i="11"/>
  <c r="D3" i="14"/>
  <c r="B4" i="14"/>
  <c r="C5" i="14"/>
  <c r="D5" i="14" s="1"/>
  <c r="E5" i="14" s="1"/>
  <c r="F5" i="14" s="1"/>
  <c r="G5" i="14" s="1"/>
  <c r="H5" i="14" s="1"/>
  <c r="I5" i="14" s="1"/>
  <c r="J5" i="14" s="1"/>
  <c r="K5" i="14" s="1"/>
  <c r="L5" i="14" s="1"/>
  <c r="M5" i="14" s="1"/>
  <c r="N5" i="14" s="1"/>
  <c r="B6" i="14"/>
  <c r="C6" i="14" s="1"/>
  <c r="D6" i="14" s="1"/>
  <c r="E6" i="14" s="1"/>
  <c r="F6" i="14" s="1"/>
  <c r="G6" i="14" s="1"/>
  <c r="H6" i="14" s="1"/>
  <c r="I6" i="14" s="1"/>
  <c r="J6" i="14" s="1"/>
  <c r="K6" i="14" s="1"/>
  <c r="L6" i="14" s="1"/>
  <c r="M6" i="14" s="1"/>
  <c r="N6" i="14" s="1"/>
  <c r="B7" i="14"/>
  <c r="C7" i="14" s="1"/>
  <c r="D7" i="14" s="1"/>
  <c r="E7" i="14" s="1"/>
  <c r="F7" i="14" s="1"/>
  <c r="G7" i="14" s="1"/>
  <c r="H7" i="14" s="1"/>
  <c r="I7" i="14" s="1"/>
  <c r="J7" i="14" s="1"/>
  <c r="K7" i="14" s="1"/>
  <c r="L7" i="14" s="1"/>
  <c r="M7" i="14" s="1"/>
  <c r="N7" i="14" s="1"/>
  <c r="D3" i="15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B4" i="15"/>
  <c r="C4" i="15" s="1"/>
  <c r="E29" i="1"/>
  <c r="E14" i="1"/>
  <c r="E13" i="1"/>
  <c r="F1" i="9"/>
  <c r="E12" i="16"/>
  <c r="E15" i="16" s="1"/>
  <c r="F7" i="16"/>
  <c r="G7" i="16" s="1"/>
  <c r="B13" i="33"/>
  <c r="B25" i="33" s="1"/>
  <c r="B20" i="33"/>
  <c r="B19" i="33"/>
  <c r="B11" i="33"/>
  <c r="B24" i="33" s="1"/>
  <c r="B21" i="33"/>
  <c r="F8" i="33"/>
  <c r="C17" i="11"/>
  <c r="D7" i="9"/>
  <c r="B13" i="18"/>
  <c r="B14" i="18" s="1"/>
  <c r="D12" i="16"/>
  <c r="D13" i="16" s="1"/>
  <c r="B22" i="33"/>
  <c r="D2" i="24"/>
  <c r="D3" i="24" s="1"/>
  <c r="D4" i="24" s="1"/>
  <c r="D5" i="24" s="1"/>
  <c r="D12" i="78"/>
  <c r="F12" i="78"/>
  <c r="T12" i="78"/>
  <c r="V12" i="78"/>
  <c r="E2" i="24"/>
  <c r="F2" i="24" s="1"/>
  <c r="G2" i="24" s="1"/>
  <c r="H2" i="24" s="1"/>
  <c r="B26" i="33"/>
  <c r="E13" i="16"/>
  <c r="G1" i="9"/>
  <c r="H7" i="33"/>
  <c r="I7" i="33" s="1"/>
  <c r="J7" i="33" s="1"/>
  <c r="E3" i="24"/>
  <c r="F3" i="24"/>
  <c r="G3" i="24"/>
  <c r="H3" i="24"/>
  <c r="I2" i="24"/>
  <c r="J2" i="24" s="1"/>
  <c r="H7" i="16" l="1"/>
  <c r="G12" i="16"/>
  <c r="B20" i="32"/>
  <c r="B17" i="32"/>
  <c r="B12" i="32"/>
  <c r="B18" i="32" s="1"/>
  <c r="B19" i="32"/>
  <c r="B16" i="32"/>
  <c r="R12" i="78"/>
  <c r="B4" i="20"/>
  <c r="O12" i="78"/>
  <c r="F12" i="16"/>
  <c r="P12" i="78"/>
  <c r="E7" i="9"/>
  <c r="C13" i="11"/>
  <c r="C4" i="20"/>
  <c r="B11" i="78"/>
  <c r="Q12" i="78"/>
  <c r="N12" i="78"/>
  <c r="C12" i="78"/>
  <c r="S12" i="78"/>
  <c r="B12" i="78"/>
  <c r="D15" i="16"/>
  <c r="L12" i="78"/>
  <c r="C7" i="9"/>
  <c r="E12" i="78"/>
  <c r="U12" i="78"/>
  <c r="B18" i="33"/>
  <c r="M12" i="78"/>
  <c r="F7" i="9"/>
  <c r="B17" i="8"/>
  <c r="B12" i="8" s="1"/>
  <c r="G12" i="78"/>
  <c r="W12" i="78"/>
  <c r="J12" i="78"/>
  <c r="I3" i="24"/>
  <c r="I4" i="24" s="1"/>
  <c r="I5" i="24" s="1"/>
  <c r="X12" i="78"/>
  <c r="H12" i="78"/>
  <c r="D14" i="17"/>
  <c r="I12" i="78"/>
  <c r="B5" i="20"/>
  <c r="K2" i="24"/>
  <c r="J3" i="24"/>
  <c r="J4" i="24" s="1"/>
  <c r="H1" i="9"/>
  <c r="C4" i="25"/>
  <c r="C5" i="25" s="1"/>
  <c r="D3" i="25"/>
  <c r="D5" i="33"/>
  <c r="C12" i="33"/>
  <c r="D9" i="78"/>
  <c r="C13" i="78"/>
  <c r="C11" i="78"/>
  <c r="H4" i="24"/>
  <c r="H5" i="24" s="1"/>
  <c r="F4" i="24"/>
  <c r="F5" i="24" s="1"/>
  <c r="E4" i="24"/>
  <c r="E5" i="24" s="1"/>
  <c r="B7" i="75"/>
  <c r="B22" i="75" s="1"/>
  <c r="F8" i="11"/>
  <c r="C7" i="11"/>
  <c r="D3" i="9"/>
  <c r="C9" i="9"/>
  <c r="D2" i="20"/>
  <c r="C3" i="20"/>
  <c r="E14" i="16"/>
  <c r="G8" i="33"/>
  <c r="C4" i="14"/>
  <c r="B11" i="14"/>
  <c r="B9" i="14"/>
  <c r="E2" i="10"/>
  <c r="D9" i="10"/>
  <c r="B10" i="9"/>
  <c r="B12" i="9" s="1"/>
  <c r="B11" i="9"/>
  <c r="B15" i="16"/>
  <c r="B13" i="16"/>
  <c r="B14" i="16" s="1"/>
  <c r="E9" i="33"/>
  <c r="D16" i="33"/>
  <c r="D14" i="33" s="1"/>
  <c r="B4" i="24"/>
  <c r="B5" i="24" s="1"/>
  <c r="G4" i="24"/>
  <c r="G5" i="24" s="1"/>
  <c r="G7" i="9"/>
  <c r="C14" i="78"/>
  <c r="C10" i="78" s="1"/>
  <c r="D2" i="23"/>
  <c r="D4" i="23" s="1"/>
  <c r="C4" i="23"/>
  <c r="C3" i="23"/>
  <c r="C2" i="21"/>
  <c r="B3" i="21"/>
  <c r="B5" i="15"/>
  <c r="E3" i="14"/>
  <c r="F3" i="14" s="1"/>
  <c r="G3" i="14" s="1"/>
  <c r="H3" i="14" s="1"/>
  <c r="I3" i="14" s="1"/>
  <c r="J3" i="14" s="1"/>
  <c r="K3" i="14" s="1"/>
  <c r="L3" i="14" s="1"/>
  <c r="M3" i="14" s="1"/>
  <c r="N3" i="14" s="1"/>
  <c r="B11" i="10"/>
  <c r="B6" i="10" s="1"/>
  <c r="B13" i="27"/>
  <c r="B15" i="27" s="1"/>
  <c r="B5" i="23"/>
  <c r="C2" i="22"/>
  <c r="B4" i="21"/>
  <c r="C16" i="33"/>
  <c r="C14" i="33" s="1"/>
  <c r="H3" i="83"/>
  <c r="I4" i="83"/>
  <c r="I5" i="83"/>
  <c r="F2" i="80"/>
  <c r="F3" i="80" s="1"/>
  <c r="E4" i="80"/>
  <c r="E2" i="81"/>
  <c r="E3" i="81" s="1"/>
  <c r="E4" i="81" s="1"/>
  <c r="J5" i="24"/>
  <c r="I1" i="10"/>
  <c r="D15" i="33"/>
  <c r="D4" i="15"/>
  <c r="C5" i="15"/>
  <c r="E9" i="17"/>
  <c r="D16" i="17"/>
  <c r="B10" i="27"/>
  <c r="B19" i="27" s="1"/>
  <c r="B7" i="76"/>
  <c r="C15" i="76"/>
  <c r="C23" i="76" s="1"/>
  <c r="C7" i="10"/>
  <c r="C9" i="10"/>
  <c r="C14" i="17"/>
  <c r="C15" i="17"/>
  <c r="C16" i="17"/>
  <c r="C13" i="16"/>
  <c r="C14" i="16" s="1"/>
  <c r="C5" i="20" l="1"/>
  <c r="C5" i="23"/>
  <c r="F15" i="16"/>
  <c r="F13" i="16"/>
  <c r="F14" i="16" s="1"/>
  <c r="D11" i="33"/>
  <c r="D24" i="33" s="1"/>
  <c r="G13" i="16"/>
  <c r="G14" i="16" s="1"/>
  <c r="G15" i="16"/>
  <c r="I7" i="16"/>
  <c r="H12" i="16"/>
  <c r="B14" i="11"/>
  <c r="B9" i="32"/>
  <c r="B15" i="32" s="1"/>
  <c r="E2" i="23"/>
  <c r="D21" i="33"/>
  <c r="D2" i="22"/>
  <c r="C3" i="22"/>
  <c r="C4" i="22" s="1"/>
  <c r="C3" i="21"/>
  <c r="C4" i="21"/>
  <c r="D2" i="21"/>
  <c r="F9" i="33"/>
  <c r="E16" i="33"/>
  <c r="E14" i="33" s="1"/>
  <c r="B6" i="9"/>
  <c r="B12" i="14"/>
  <c r="B14" i="14" s="1"/>
  <c r="B13" i="14"/>
  <c r="E2" i="20"/>
  <c r="D3" i="20"/>
  <c r="D4" i="20"/>
  <c r="E3" i="25"/>
  <c r="D4" i="25"/>
  <c r="D5" i="25" s="1"/>
  <c r="H7" i="9"/>
  <c r="I1" i="9"/>
  <c r="B5" i="21"/>
  <c r="C15" i="11"/>
  <c r="C19" i="11"/>
  <c r="B18" i="11" s="1"/>
  <c r="D3" i="23"/>
  <c r="D22" i="33"/>
  <c r="D11" i="10"/>
  <c r="D10" i="10"/>
  <c r="D12" i="10" s="1"/>
  <c r="D4" i="14"/>
  <c r="C9" i="14"/>
  <c r="C11" i="14"/>
  <c r="C10" i="9"/>
  <c r="C12" i="9" s="1"/>
  <c r="C11" i="9"/>
  <c r="E5" i="33"/>
  <c r="D12" i="33"/>
  <c r="L2" i="24"/>
  <c r="K3" i="24"/>
  <c r="C15" i="33"/>
  <c r="C22" i="33"/>
  <c r="F2" i="10"/>
  <c r="E7" i="10"/>
  <c r="E9" i="10"/>
  <c r="H8" i="33"/>
  <c r="E3" i="9"/>
  <c r="D9" i="9"/>
  <c r="D14" i="16"/>
  <c r="D11" i="78"/>
  <c r="D13" i="78"/>
  <c r="D14" i="78"/>
  <c r="E9" i="78"/>
  <c r="I3" i="83"/>
  <c r="J4" i="83"/>
  <c r="J5" i="83"/>
  <c r="F4" i="80"/>
  <c r="G2" i="80"/>
  <c r="G3" i="80" s="1"/>
  <c r="F2" i="81"/>
  <c r="F3" i="81" s="1"/>
  <c r="F4" i="81" s="1"/>
  <c r="F9" i="17"/>
  <c r="E14" i="17"/>
  <c r="E16" i="17"/>
  <c r="E15" i="17"/>
  <c r="D19" i="33"/>
  <c r="D13" i="33"/>
  <c r="D25" i="33" s="1"/>
  <c r="D20" i="33"/>
  <c r="J1" i="10"/>
  <c r="B22" i="76"/>
  <c r="D5" i="23"/>
  <c r="C10" i="10"/>
  <c r="C12" i="10" s="1"/>
  <c r="C11" i="10"/>
  <c r="C6" i="10" s="1"/>
  <c r="E3" i="23"/>
  <c r="E4" i="23"/>
  <c r="F2" i="23"/>
  <c r="D5" i="15"/>
  <c r="E4" i="15"/>
  <c r="C6" i="9" l="1"/>
  <c r="H13" i="16"/>
  <c r="H14" i="16" s="1"/>
  <c r="H15" i="16"/>
  <c r="I12" i="16"/>
  <c r="J7" i="16"/>
  <c r="J12" i="16" s="1"/>
  <c r="D11" i="9"/>
  <c r="D10" i="9"/>
  <c r="D12" i="9" s="1"/>
  <c r="I8" i="33"/>
  <c r="K4" i="24"/>
  <c r="K5" i="24" s="1"/>
  <c r="C13" i="14"/>
  <c r="C12" i="14"/>
  <c r="C14" i="14" s="1"/>
  <c r="C8" i="14" s="1"/>
  <c r="D6" i="10"/>
  <c r="D5" i="20"/>
  <c r="E13" i="78"/>
  <c r="F9" i="78"/>
  <c r="E14" i="78"/>
  <c r="E11" i="78"/>
  <c r="C11" i="33"/>
  <c r="C24" i="33" s="1"/>
  <c r="C20" i="33"/>
  <c r="C13" i="33"/>
  <c r="C25" i="33" s="1"/>
  <c r="C19" i="33"/>
  <c r="C21" i="33"/>
  <c r="D3" i="22"/>
  <c r="D4" i="22" s="1"/>
  <c r="E2" i="22"/>
  <c r="D10" i="78"/>
  <c r="F3" i="9"/>
  <c r="E9" i="9"/>
  <c r="E11" i="10"/>
  <c r="E10" i="10"/>
  <c r="E12" i="10" s="1"/>
  <c r="L3" i="24"/>
  <c r="M2" i="24"/>
  <c r="J1" i="9"/>
  <c r="I7" i="9"/>
  <c r="F2" i="20"/>
  <c r="E4" i="20"/>
  <c r="E3" i="20"/>
  <c r="E22" i="33"/>
  <c r="E15" i="33"/>
  <c r="C5" i="21"/>
  <c r="G2" i="10"/>
  <c r="F7" i="10"/>
  <c r="F9" i="10"/>
  <c r="F5" i="33"/>
  <c r="E12" i="33"/>
  <c r="E11" i="33"/>
  <c r="E24" i="33" s="1"/>
  <c r="E21" i="33"/>
  <c r="D4" i="21"/>
  <c r="E2" i="21"/>
  <c r="D3" i="21"/>
  <c r="E4" i="14"/>
  <c r="D11" i="14"/>
  <c r="D9" i="14"/>
  <c r="E4" i="25"/>
  <c r="E5" i="25" s="1"/>
  <c r="F3" i="25"/>
  <c r="B8" i="14"/>
  <c r="G9" i="33"/>
  <c r="F16" i="33"/>
  <c r="F14" i="33" s="1"/>
  <c r="J3" i="83"/>
  <c r="K4" i="83"/>
  <c r="K5" i="83"/>
  <c r="H2" i="80"/>
  <c r="H3" i="80" s="1"/>
  <c r="G4" i="80"/>
  <c r="G2" i="81"/>
  <c r="G3" i="81" s="1"/>
  <c r="G4" i="81" s="1"/>
  <c r="E5" i="23"/>
  <c r="K1" i="10"/>
  <c r="D18" i="33"/>
  <c r="D26" i="33"/>
  <c r="G9" i="17"/>
  <c r="F14" i="17"/>
  <c r="F15" i="17"/>
  <c r="F16" i="17"/>
  <c r="F4" i="15"/>
  <c r="E5" i="15"/>
  <c r="F4" i="23"/>
  <c r="F3" i="23"/>
  <c r="G2" i="23"/>
  <c r="E10" i="78" l="1"/>
  <c r="J13" i="16"/>
  <c r="J14" i="16" s="1"/>
  <c r="J15" i="16"/>
  <c r="I15" i="16"/>
  <c r="I13" i="16"/>
  <c r="I14" i="16" s="1"/>
  <c r="D5" i="21"/>
  <c r="E11" i="9"/>
  <c r="E10" i="9"/>
  <c r="E12" i="9" s="1"/>
  <c r="E6" i="9" s="1"/>
  <c r="F14" i="78"/>
  <c r="G9" i="78"/>
  <c r="F11" i="78"/>
  <c r="F13" i="78"/>
  <c r="F10" i="78" s="1"/>
  <c r="F2" i="21"/>
  <c r="E4" i="21"/>
  <c r="E3" i="21"/>
  <c r="H2" i="10"/>
  <c r="G9" i="10"/>
  <c r="G7" i="10"/>
  <c r="E5" i="20"/>
  <c r="J7" i="9"/>
  <c r="K1" i="9"/>
  <c r="L4" i="24"/>
  <c r="L5" i="24" s="1"/>
  <c r="G3" i="9"/>
  <c r="F9" i="9"/>
  <c r="J8" i="33"/>
  <c r="D12" i="14"/>
  <c r="D14" i="14" s="1"/>
  <c r="D13" i="14"/>
  <c r="G5" i="33"/>
  <c r="F12" i="33"/>
  <c r="C26" i="33"/>
  <c r="C18" i="33"/>
  <c r="H9" i="33"/>
  <c r="G16" i="33"/>
  <c r="G14" i="33" s="1"/>
  <c r="M3" i="24"/>
  <c r="N2" i="24"/>
  <c r="N3" i="24" s="1"/>
  <c r="F15" i="33"/>
  <c r="F22" i="33"/>
  <c r="F4" i="25"/>
  <c r="F5" i="25" s="1"/>
  <c r="G3" i="25"/>
  <c r="E11" i="14"/>
  <c r="E9" i="14"/>
  <c r="F4" i="14"/>
  <c r="F11" i="10"/>
  <c r="F10" i="10"/>
  <c r="F12" i="10" s="1"/>
  <c r="E13" i="33"/>
  <c r="E25" i="33" s="1"/>
  <c r="E19" i="33"/>
  <c r="E20" i="33"/>
  <c r="G2" i="20"/>
  <c r="F3" i="20"/>
  <c r="F4" i="20"/>
  <c r="F5" i="20" s="1"/>
  <c r="E6" i="10"/>
  <c r="E3" i="22"/>
  <c r="E4" i="22" s="1"/>
  <c r="F2" i="22"/>
  <c r="D6" i="9"/>
  <c r="K3" i="83"/>
  <c r="L4" i="83"/>
  <c r="L5" i="83"/>
  <c r="H4" i="80"/>
  <c r="I2" i="80"/>
  <c r="I3" i="80" s="1"/>
  <c r="H2" i="81"/>
  <c r="H3" i="81" s="1"/>
  <c r="H4" i="81" s="1"/>
  <c r="H9" i="17"/>
  <c r="G14" i="17"/>
  <c r="G16" i="17"/>
  <c r="G15" i="17"/>
  <c r="L1" i="10"/>
  <c r="F5" i="23"/>
  <c r="H2" i="23"/>
  <c r="G4" i="23"/>
  <c r="G3" i="23"/>
  <c r="F5" i="15"/>
  <c r="G4" i="15"/>
  <c r="G3" i="20" l="1"/>
  <c r="H2" i="20"/>
  <c r="G4" i="20"/>
  <c r="F20" i="33"/>
  <c r="F19" i="33"/>
  <c r="F13" i="33"/>
  <c r="F25" i="33" s="1"/>
  <c r="F11" i="33"/>
  <c r="F24" i="33" s="1"/>
  <c r="F6" i="10"/>
  <c r="G4" i="25"/>
  <c r="H3" i="25"/>
  <c r="G5" i="25"/>
  <c r="N4" i="24"/>
  <c r="N5" i="24" s="1"/>
  <c r="F21" i="33"/>
  <c r="D8" i="14"/>
  <c r="H3" i="9"/>
  <c r="G9" i="9"/>
  <c r="G11" i="10"/>
  <c r="G10" i="10"/>
  <c r="G12" i="10" s="1"/>
  <c r="F4" i="21"/>
  <c r="G2" i="21"/>
  <c r="F3" i="21"/>
  <c r="F10" i="9"/>
  <c r="F12" i="9" s="1"/>
  <c r="F11" i="9"/>
  <c r="F6" i="9" s="1"/>
  <c r="E18" i="33"/>
  <c r="E26" i="33"/>
  <c r="F9" i="14"/>
  <c r="G4" i="14"/>
  <c r="F11" i="14"/>
  <c r="M4" i="24"/>
  <c r="M5" i="24" s="1"/>
  <c r="I2" i="10"/>
  <c r="H9" i="10"/>
  <c r="H7" i="10"/>
  <c r="E12" i="14"/>
  <c r="E14" i="14" s="1"/>
  <c r="E13" i="14"/>
  <c r="I9" i="33"/>
  <c r="H16" i="33"/>
  <c r="H14" i="33" s="1"/>
  <c r="K7" i="9"/>
  <c r="L1" i="9"/>
  <c r="G11" i="78"/>
  <c r="G14" i="78"/>
  <c r="G13" i="78"/>
  <c r="H9" i="78"/>
  <c r="F3" i="22"/>
  <c r="F4" i="22" s="1"/>
  <c r="G2" i="22"/>
  <c r="G15" i="33"/>
  <c r="G11" i="33" s="1"/>
  <c r="G24" i="33" s="1"/>
  <c r="G22" i="33"/>
  <c r="H5" i="33"/>
  <c r="G21" i="33"/>
  <c r="G12" i="33"/>
  <c r="E5" i="21"/>
  <c r="L3" i="83"/>
  <c r="M4" i="83"/>
  <c r="M5" i="83"/>
  <c r="J2" i="80"/>
  <c r="J3" i="80" s="1"/>
  <c r="I4" i="80"/>
  <c r="I2" i="81"/>
  <c r="I3" i="81" s="1"/>
  <c r="I4" i="81" s="1"/>
  <c r="H4" i="15"/>
  <c r="G5" i="15"/>
  <c r="I2" i="23"/>
  <c r="H3" i="23"/>
  <c r="H4" i="23"/>
  <c r="M1" i="10"/>
  <c r="I9" i="17"/>
  <c r="H14" i="17"/>
  <c r="H15" i="17"/>
  <c r="H16" i="17"/>
  <c r="G5" i="23"/>
  <c r="G6" i="10" l="1"/>
  <c r="G9" i="14"/>
  <c r="G11" i="14"/>
  <c r="H4" i="14"/>
  <c r="I5" i="33"/>
  <c r="H12" i="33"/>
  <c r="H15" i="33"/>
  <c r="H21" i="33" s="1"/>
  <c r="H22" i="33"/>
  <c r="H2" i="22"/>
  <c r="G3" i="22"/>
  <c r="G4" i="22" s="1"/>
  <c r="I3" i="9"/>
  <c r="H9" i="9"/>
  <c r="I9" i="78"/>
  <c r="H11" i="78"/>
  <c r="H13" i="78"/>
  <c r="H14" i="78"/>
  <c r="J9" i="33"/>
  <c r="J16" i="33" s="1"/>
  <c r="J14" i="33" s="1"/>
  <c r="I16" i="33"/>
  <c r="I14" i="33" s="1"/>
  <c r="H10" i="10"/>
  <c r="H12" i="10" s="1"/>
  <c r="H11" i="10"/>
  <c r="F5" i="21"/>
  <c r="H4" i="25"/>
  <c r="H5" i="25" s="1"/>
  <c r="I3" i="25"/>
  <c r="H3" i="20"/>
  <c r="H4" i="20"/>
  <c r="I2" i="20"/>
  <c r="G20" i="33"/>
  <c r="G13" i="33"/>
  <c r="G25" i="33" s="1"/>
  <c r="G19" i="33"/>
  <c r="G10" i="78"/>
  <c r="M1" i="9"/>
  <c r="L7" i="9"/>
  <c r="E8" i="14"/>
  <c r="J2" i="10"/>
  <c r="I7" i="10"/>
  <c r="I9" i="10"/>
  <c r="F13" i="14"/>
  <c r="F12" i="14"/>
  <c r="F14" i="14" s="1"/>
  <c r="H2" i="21"/>
  <c r="G3" i="21"/>
  <c r="G4" i="21"/>
  <c r="G11" i="9"/>
  <c r="G6" i="9" s="1"/>
  <c r="G10" i="9"/>
  <c r="G12" i="9" s="1"/>
  <c r="F26" i="33"/>
  <c r="F18" i="33"/>
  <c r="G5" i="20"/>
  <c r="M3" i="83"/>
  <c r="N5" i="83"/>
  <c r="N4" i="83"/>
  <c r="H5" i="23"/>
  <c r="J4" i="80"/>
  <c r="K2" i="80"/>
  <c r="K3" i="80" s="1"/>
  <c r="J2" i="81"/>
  <c r="J3" i="81" s="1"/>
  <c r="J4" i="81" s="1"/>
  <c r="N1" i="10"/>
  <c r="I3" i="23"/>
  <c r="I4" i="23"/>
  <c r="J2" i="23"/>
  <c r="H5" i="15"/>
  <c r="I4" i="15"/>
  <c r="I16" i="17"/>
  <c r="I15" i="17"/>
  <c r="J9" i="17"/>
  <c r="I14" i="17"/>
  <c r="H10" i="78" l="1"/>
  <c r="F8" i="14"/>
  <c r="H5" i="20"/>
  <c r="I4" i="20"/>
  <c r="I3" i="20"/>
  <c r="I5" i="20" s="1"/>
  <c r="J2" i="20"/>
  <c r="J5" i="33"/>
  <c r="I12" i="33"/>
  <c r="G5" i="21"/>
  <c r="I10" i="10"/>
  <c r="I12" i="10" s="1"/>
  <c r="I11" i="10"/>
  <c r="I6" i="10" s="1"/>
  <c r="G26" i="33"/>
  <c r="G18" i="33"/>
  <c r="J15" i="33"/>
  <c r="J22" i="33"/>
  <c r="I13" i="78"/>
  <c r="I11" i="78"/>
  <c r="I14" i="78"/>
  <c r="J9" i="78"/>
  <c r="H3" i="22"/>
  <c r="H4" i="22" s="1"/>
  <c r="I2" i="22"/>
  <c r="H11" i="33"/>
  <c r="H24" i="33" s="1"/>
  <c r="I4" i="14"/>
  <c r="H9" i="14"/>
  <c r="H11" i="14"/>
  <c r="I22" i="33"/>
  <c r="I15" i="33"/>
  <c r="I21" i="33" s="1"/>
  <c r="I2" i="21"/>
  <c r="H4" i="21"/>
  <c r="H3" i="21"/>
  <c r="N1" i="9"/>
  <c r="M7" i="9"/>
  <c r="H6" i="10"/>
  <c r="H11" i="9"/>
  <c r="H10" i="9"/>
  <c r="H12" i="9" s="1"/>
  <c r="G12" i="14"/>
  <c r="G14" i="14" s="1"/>
  <c r="G13" i="14"/>
  <c r="G8" i="14" s="1"/>
  <c r="K2" i="10"/>
  <c r="J9" i="10"/>
  <c r="J7" i="10"/>
  <c r="J3" i="25"/>
  <c r="I4" i="25"/>
  <c r="I5" i="25" s="1"/>
  <c r="J3" i="9"/>
  <c r="I9" i="9"/>
  <c r="H19" i="33"/>
  <c r="H20" i="33"/>
  <c r="H13" i="33"/>
  <c r="H25" i="33" s="1"/>
  <c r="N3" i="83"/>
  <c r="L2" i="80"/>
  <c r="L3" i="80" s="1"/>
  <c r="K4" i="80"/>
  <c r="K2" i="81"/>
  <c r="K3" i="81" s="1"/>
  <c r="K4" i="81" s="1"/>
  <c r="I5" i="23"/>
  <c r="J14" i="17"/>
  <c r="J15" i="17"/>
  <c r="J16" i="17"/>
  <c r="I5" i="15"/>
  <c r="J4" i="15"/>
  <c r="J4" i="23"/>
  <c r="J3" i="23"/>
  <c r="K2" i="23"/>
  <c r="I10" i="78" l="1"/>
  <c r="H5" i="21"/>
  <c r="J11" i="10"/>
  <c r="J10" i="10"/>
  <c r="J12" i="10" s="1"/>
  <c r="J4" i="20"/>
  <c r="J3" i="20"/>
  <c r="K2" i="20"/>
  <c r="H26" i="33"/>
  <c r="H18" i="33"/>
  <c r="L2" i="10"/>
  <c r="K7" i="10"/>
  <c r="K9" i="10"/>
  <c r="H6" i="9"/>
  <c r="N7" i="9"/>
  <c r="I13" i="33"/>
  <c r="I25" i="33" s="1"/>
  <c r="I19" i="33"/>
  <c r="I20" i="33"/>
  <c r="I11" i="14"/>
  <c r="J4" i="14"/>
  <c r="I9" i="14"/>
  <c r="K9" i="78"/>
  <c r="J14" i="78"/>
  <c r="J13" i="78"/>
  <c r="J10" i="78" s="1"/>
  <c r="J11" i="78"/>
  <c r="I11" i="9"/>
  <c r="I6" i="9" s="1"/>
  <c r="I10" i="9"/>
  <c r="I12" i="9" s="1"/>
  <c r="J4" i="25"/>
  <c r="J5" i="25" s="1"/>
  <c r="K3" i="25"/>
  <c r="J19" i="33"/>
  <c r="J26" i="33" s="1"/>
  <c r="J13" i="33"/>
  <c r="J25" i="33" s="1"/>
  <c r="J20" i="33"/>
  <c r="J12" i="33"/>
  <c r="J11" i="33"/>
  <c r="J24" i="33" s="1"/>
  <c r="J21" i="33"/>
  <c r="I4" i="21"/>
  <c r="J2" i="21"/>
  <c r="I3" i="21"/>
  <c r="K3" i="9"/>
  <c r="J9" i="9"/>
  <c r="H13" i="14"/>
  <c r="H12" i="14"/>
  <c r="H14" i="14" s="1"/>
  <c r="I3" i="22"/>
  <c r="I4" i="22" s="1"/>
  <c r="J2" i="22"/>
  <c r="I11" i="33"/>
  <c r="I24" i="33" s="1"/>
  <c r="L4" i="80"/>
  <c r="M2" i="80"/>
  <c r="M3" i="80" s="1"/>
  <c r="L2" i="81"/>
  <c r="L3" i="81" s="1"/>
  <c r="L4" i="81" s="1"/>
  <c r="J5" i="15"/>
  <c r="K4" i="15"/>
  <c r="J5" i="23"/>
  <c r="L2" i="23"/>
  <c r="K4" i="23"/>
  <c r="K3" i="23"/>
  <c r="J5" i="20" l="1"/>
  <c r="J18" i="33"/>
  <c r="L3" i="9"/>
  <c r="K9" i="9"/>
  <c r="L3" i="25"/>
  <c r="K4" i="25"/>
  <c r="K5" i="25" s="1"/>
  <c r="I18" i="33"/>
  <c r="I26" i="33"/>
  <c r="K14" i="78"/>
  <c r="K13" i="78"/>
  <c r="K10" i="78" s="1"/>
  <c r="L9" i="78"/>
  <c r="K11" i="78"/>
  <c r="H8" i="14"/>
  <c r="I5" i="21"/>
  <c r="J9" i="14"/>
  <c r="J11" i="14"/>
  <c r="K4" i="14"/>
  <c r="K10" i="10"/>
  <c r="K12" i="10" s="1"/>
  <c r="K11" i="10"/>
  <c r="M2" i="10"/>
  <c r="L7" i="10"/>
  <c r="L9" i="10"/>
  <c r="J3" i="22"/>
  <c r="J4" i="22" s="1"/>
  <c r="K2" i="22"/>
  <c r="J11" i="9"/>
  <c r="J10" i="9"/>
  <c r="J12" i="9" s="1"/>
  <c r="J3" i="21"/>
  <c r="K2" i="21"/>
  <c r="J4" i="21"/>
  <c r="I13" i="14"/>
  <c r="I12" i="14"/>
  <c r="I14" i="14" s="1"/>
  <c r="L2" i="20"/>
  <c r="K4" i="20"/>
  <c r="K3" i="20"/>
  <c r="K5" i="20" s="1"/>
  <c r="J6" i="10"/>
  <c r="N2" i="80"/>
  <c r="N3" i="80" s="1"/>
  <c r="M4" i="80"/>
  <c r="M2" i="81"/>
  <c r="M3" i="81" s="1"/>
  <c r="M4" i="81" s="1"/>
  <c r="K5" i="23"/>
  <c r="L4" i="23"/>
  <c r="L3" i="23"/>
  <c r="M2" i="23"/>
  <c r="L4" i="15"/>
  <c r="K5" i="15"/>
  <c r="I8" i="14" l="1"/>
  <c r="J6" i="9"/>
  <c r="K11" i="14"/>
  <c r="L4" i="14"/>
  <c r="K9" i="14"/>
  <c r="L4" i="25"/>
  <c r="M3" i="25"/>
  <c r="L5" i="25"/>
  <c r="L11" i="10"/>
  <c r="L10" i="10"/>
  <c r="L12" i="10" s="1"/>
  <c r="L3" i="20"/>
  <c r="M2" i="20"/>
  <c r="L4" i="20"/>
  <c r="K4" i="21"/>
  <c r="K3" i="21"/>
  <c r="L2" i="21"/>
  <c r="L2" i="22"/>
  <c r="K3" i="22"/>
  <c r="K4" i="22" s="1"/>
  <c r="N2" i="10"/>
  <c r="M9" i="10"/>
  <c r="M7" i="10"/>
  <c r="J13" i="14"/>
  <c r="J12" i="14"/>
  <c r="J14" i="14" s="1"/>
  <c r="K10" i="9"/>
  <c r="K12" i="9" s="1"/>
  <c r="K11" i="9"/>
  <c r="J5" i="21"/>
  <c r="K6" i="10"/>
  <c r="L13" i="78"/>
  <c r="L14" i="78"/>
  <c r="M9" i="78"/>
  <c r="L11" i="78"/>
  <c r="M3" i="9"/>
  <c r="L9" i="9"/>
  <c r="N4" i="80"/>
  <c r="N2" i="81"/>
  <c r="N3" i="81" s="1"/>
  <c r="N4" i="81" s="1"/>
  <c r="L5" i="23"/>
  <c r="N2" i="23"/>
  <c r="M3" i="23"/>
  <c r="M4" i="23"/>
  <c r="L5" i="15"/>
  <c r="M4" i="15"/>
  <c r="L5" i="20" l="1"/>
  <c r="L10" i="78"/>
  <c r="L6" i="10"/>
  <c r="K5" i="21"/>
  <c r="N3" i="9"/>
  <c r="N9" i="9" s="1"/>
  <c r="M9" i="9"/>
  <c r="M11" i="10"/>
  <c r="M10" i="10"/>
  <c r="M12" i="10" s="1"/>
  <c r="N7" i="10"/>
  <c r="N9" i="10"/>
  <c r="M3" i="20"/>
  <c r="N2" i="20"/>
  <c r="M4" i="20"/>
  <c r="M4" i="14"/>
  <c r="L9" i="14"/>
  <c r="L11" i="14"/>
  <c r="M2" i="21"/>
  <c r="L3" i="21"/>
  <c r="L4" i="21"/>
  <c r="M5" i="23"/>
  <c r="M13" i="78"/>
  <c r="M14" i="78"/>
  <c r="M11" i="78"/>
  <c r="N9" i="78"/>
  <c r="J8" i="14"/>
  <c r="N3" i="25"/>
  <c r="M4" i="25"/>
  <c r="M5" i="25" s="1"/>
  <c r="K13" i="14"/>
  <c r="K12" i="14"/>
  <c r="K14" i="14" s="1"/>
  <c r="L11" i="9"/>
  <c r="L10" i="9"/>
  <c r="L12" i="9" s="1"/>
  <c r="K6" i="9"/>
  <c r="M2" i="22"/>
  <c r="L3" i="22"/>
  <c r="L4" i="22" s="1"/>
  <c r="N4" i="15"/>
  <c r="N5" i="15" s="1"/>
  <c r="M5" i="15"/>
  <c r="N3" i="23"/>
  <c r="N4" i="23"/>
  <c r="M5" i="20" l="1"/>
  <c r="K8" i="14"/>
  <c r="L12" i="14"/>
  <c r="L14" i="14" s="1"/>
  <c r="L13" i="14"/>
  <c r="L8" i="14" s="1"/>
  <c r="M6" i="10"/>
  <c r="L6" i="9"/>
  <c r="N4" i="25"/>
  <c r="N5" i="25"/>
  <c r="L5" i="21"/>
  <c r="M9" i="14"/>
  <c r="M11" i="14"/>
  <c r="N4" i="14"/>
  <c r="N10" i="10"/>
  <c r="N12" i="10" s="1"/>
  <c r="N11" i="10"/>
  <c r="M10" i="9"/>
  <c r="M12" i="9" s="1"/>
  <c r="M11" i="9"/>
  <c r="M6" i="9" s="1"/>
  <c r="N14" i="78"/>
  <c r="N13" i="78"/>
  <c r="N10" i="78" s="1"/>
  <c r="O9" i="78"/>
  <c r="N11" i="78"/>
  <c r="N4" i="20"/>
  <c r="N3" i="20"/>
  <c r="N2" i="22"/>
  <c r="N3" i="22" s="1"/>
  <c r="N4" i="22" s="1"/>
  <c r="M3" i="22"/>
  <c r="M4" i="22" s="1"/>
  <c r="M10" i="78"/>
  <c r="N2" i="21"/>
  <c r="M3" i="21"/>
  <c r="M4" i="21"/>
  <c r="N11" i="9"/>
  <c r="N10" i="9"/>
  <c r="N12" i="9" s="1"/>
  <c r="N5" i="23"/>
  <c r="N6" i="10" l="1"/>
  <c r="N5" i="20"/>
  <c r="N6" i="9"/>
  <c r="N9" i="14"/>
  <c r="N11" i="14"/>
  <c r="N4" i="21"/>
  <c r="N3" i="21"/>
  <c r="N5" i="21" s="1"/>
  <c r="M5" i="21"/>
  <c r="O13" i="78"/>
  <c r="O10" i="78" s="1"/>
  <c r="O11" i="78"/>
  <c r="O14" i="78"/>
  <c r="P9" i="78"/>
  <c r="M12" i="14"/>
  <c r="M14" i="14" s="1"/>
  <c r="M13" i="14"/>
  <c r="N12" i="14" l="1"/>
  <c r="N14" i="14" s="1"/>
  <c r="N13" i="14"/>
  <c r="P13" i="78"/>
  <c r="Q9" i="78"/>
  <c r="P14" i="78"/>
  <c r="P11" i="78"/>
  <c r="M8" i="14"/>
  <c r="P10" i="78" l="1"/>
  <c r="N8" i="14"/>
  <c r="Q13" i="78"/>
  <c r="R9" i="78"/>
  <c r="Q11" i="78"/>
  <c r="Q14" i="78"/>
  <c r="S9" i="78" l="1"/>
  <c r="R11" i="78"/>
  <c r="R13" i="78"/>
  <c r="R14" i="78"/>
  <c r="Q10" i="78"/>
  <c r="R10" i="78" l="1"/>
  <c r="S11" i="78"/>
  <c r="S14" i="78"/>
  <c r="S13" i="78"/>
  <c r="T9" i="78"/>
  <c r="T14" i="78" l="1"/>
  <c r="T11" i="78"/>
  <c r="T13" i="78"/>
  <c r="T10" i="78" s="1"/>
  <c r="U9" i="78"/>
  <c r="S10" i="78"/>
  <c r="U11" i="78" l="1"/>
  <c r="U14" i="78"/>
  <c r="U13" i="78"/>
  <c r="V9" i="78"/>
  <c r="U10" i="78" l="1"/>
  <c r="W9" i="78"/>
  <c r="V14" i="78"/>
  <c r="V11" i="78"/>
  <c r="V13" i="78"/>
  <c r="V10" i="78" s="1"/>
  <c r="W14" i="78" l="1"/>
  <c r="X9" i="78"/>
  <c r="W13" i="78"/>
  <c r="W10" i="78" s="1"/>
  <c r="W11" i="78"/>
  <c r="X14" i="78" l="1"/>
  <c r="X13" i="78"/>
  <c r="Y9" i="78"/>
  <c r="X11" i="78"/>
  <c r="X10" i="78" l="1"/>
  <c r="Y11" i="78"/>
  <c r="Y14" i="78"/>
  <c r="Y13" i="78"/>
  <c r="Z9" i="78"/>
  <c r="Y10" i="78" l="1"/>
  <c r="Z14" i="78"/>
  <c r="Z13" i="78"/>
  <c r="Z11" i="78"/>
  <c r="Z10" i="78" l="1"/>
</calcChain>
</file>

<file path=xl/sharedStrings.xml><?xml version="1.0" encoding="utf-8"?>
<sst xmlns="http://schemas.openxmlformats.org/spreadsheetml/2006/main" count="650" uniqueCount="355">
  <si>
    <t>V</t>
  </si>
  <si>
    <t>r</t>
  </si>
  <si>
    <t>F(V)</t>
  </si>
  <si>
    <t>REAL OPTION VALUE</t>
  </si>
  <si>
    <t>s</t>
  </si>
  <si>
    <t>INVESTMENT COST</t>
  </si>
  <si>
    <t>EXCHANGE VOLATILITY</t>
  </si>
  <si>
    <t>AFTER SAMUELSON-McKEAN 1965</t>
  </si>
  <si>
    <t>INPUTS</t>
  </si>
  <si>
    <t>OUTPUTS</t>
  </si>
  <si>
    <t>INTRINSIC OPTION VALUE</t>
  </si>
  <si>
    <t>DELTA</t>
  </si>
  <si>
    <t>(B5-B6+(B7^2)/2+SQRT((B6-B5-(B7^2)/2)^2+2*B6*(B7^2)))/(B7^2)</t>
  </si>
  <si>
    <t>B8*B12/(B12-1)</t>
  </si>
  <si>
    <t>IF(B9-$B$8&gt;0,(B9-$B$8),0)</t>
  </si>
  <si>
    <t>MIN((((B9*($B$12-1))/(($B$8*$B$12)))^($B$12-1)),1)</t>
  </si>
  <si>
    <t>B19=</t>
  </si>
  <si>
    <t>COST VOLATILITY</t>
  </si>
  <si>
    <t>Dean Paxson</t>
  </si>
  <si>
    <t>Manchester Business School</t>
  </si>
  <si>
    <t>CAPACITY</t>
  </si>
  <si>
    <t>ATTENDANCE</t>
  </si>
  <si>
    <t>PAYOFF DIAGRAM FOR GATE RECEIPT SHARING ARRANGEMENT</t>
  </si>
  <si>
    <t>EXPECTED GATE RECEIPTS 20 POUNDS PER ATTENDANCE</t>
  </si>
  <si>
    <t>MAN CITY</t>
  </si>
  <si>
    <t>COUNCIL</t>
  </si>
  <si>
    <t>BARRIER</t>
  </si>
  <si>
    <t>GATE REC</t>
  </si>
  <si>
    <t>RENT</t>
  </si>
  <si>
    <t>MAN CITY(-)</t>
  </si>
  <si>
    <t>COUNCIL(+)</t>
  </si>
  <si>
    <t>K</t>
  </si>
  <si>
    <t>V-K</t>
  </si>
  <si>
    <t>F''(V)</t>
  </si>
  <si>
    <t>F'(V)</t>
  </si>
  <si>
    <t>F'(V*)</t>
  </si>
  <si>
    <t>F(V*)</t>
  </si>
  <si>
    <t>b1=</t>
  </si>
  <si>
    <t>BASIC BLACK-SCHOLES</t>
  </si>
  <si>
    <t>IF(B4&gt;B5,B4-B5,0)</t>
  </si>
  <si>
    <t>MARGRABE EXCHANGE</t>
  </si>
  <si>
    <t>BENEFIT</t>
  </si>
  <si>
    <t>COST</t>
  </si>
  <si>
    <t>BENEFIT YIELD</t>
  </si>
  <si>
    <t>COST YIELD</t>
  </si>
  <si>
    <t xml:space="preserve">CORRELATION </t>
  </si>
  <si>
    <t>DEFERRAL OPTION FOR PATENT ON NEW TOY</t>
  </si>
  <si>
    <t>ASSET  VALUE</t>
  </si>
  <si>
    <t>WMB EXPANSION OPTION</t>
  </si>
  <si>
    <t>ASSET VALUE</t>
  </si>
  <si>
    <t>PRICE</t>
  </si>
  <si>
    <t>CURRENT PRESENT VALUE</t>
  </si>
  <si>
    <t>BUCCANEER NET VALUE</t>
  </si>
  <si>
    <t>B3-B4</t>
  </si>
  <si>
    <t xml:space="preserve">                                                       Perpetual American Option</t>
  </si>
  <si>
    <t>0.5-(B6-B7)/(B5^2)+SQRT(((B6-B7)/(B5^2)-0.5)^2 + 2*B6/(B5^2))</t>
  </si>
  <si>
    <t>IF(B9&gt;$B$13,B15,($B$13-$B$8)*((B9/$B$13)^$B$12))</t>
  </si>
  <si>
    <t xml:space="preserve">                                                                                                       SAMUELSON-MCKEAN: REAL AMERCAN PERPETUAL CALL OPTION</t>
  </si>
  <si>
    <t>STOCHASTIC V</t>
  </si>
  <si>
    <t>IF(M5&lt;M14,M15*(M5^M16),M12)</t>
  </si>
  <si>
    <t>M5-M6</t>
  </si>
  <si>
    <t>M15*M16*(M5^(M16-1))</t>
  </si>
  <si>
    <t>(M16/(M16-1))*M6</t>
  </si>
  <si>
    <t>(M14-M6)/(M14^M16)</t>
  </si>
  <si>
    <t>0.5-(M8-M9)/(M7^2)+SQRT(((M8-M9)/(M7^2)-0.5)^2 + 2*M8/(M7^2))</t>
  </si>
  <si>
    <t>0.5*(M7^2)*(M5^2)*M19+(M8-M9)*M5*M13-M8*M11</t>
  </si>
  <si>
    <t>M15*M16*(M16-1)*(M5^(M16-2))</t>
  </si>
  <si>
    <t>M15*M16*(M14^(M16-1))</t>
  </si>
  <si>
    <t>IF(M5&lt;M14,M15*(M14^M16),M12)</t>
  </si>
  <si>
    <t>M14-M6</t>
  </si>
  <si>
    <t>Asset VOLATILITY</t>
  </si>
  <si>
    <t>DEVELOPED Asset VALUE</t>
  </si>
  <si>
    <t>DEVELOPMENT OPTION VALUE</t>
  </si>
  <si>
    <t>V*-K</t>
  </si>
  <si>
    <t>AMERICAN PERPETUAL CALL OPTION</t>
  </si>
  <si>
    <t>ROV</t>
  </si>
  <si>
    <t>Investment Cost, K</t>
  </si>
  <si>
    <t>Developed Asset Value, V</t>
  </si>
  <si>
    <t>ASSET YIELD</t>
  </si>
  <si>
    <t>B4*B17*EXP(-B7*B9)-B5*B18*EXP(-B6*B9)</t>
  </si>
  <si>
    <t>(LN(B4/B5)+(B6-B7+B8^2/2)*B9)/(B8*SQRT(B9))</t>
  </si>
  <si>
    <t>B15-B8*SQRT(B9)</t>
  </si>
  <si>
    <t>NCF Per Year</t>
  </si>
  <si>
    <t>((1/B6)-(1/(B6*((1+B6)^B7))))*B2</t>
  </si>
  <si>
    <t>-B17+B18+B10</t>
  </si>
  <si>
    <t xml:space="preserve">  £ BILLIONS</t>
  </si>
  <si>
    <t>$B$6*B9-$B$4*$B$7</t>
  </si>
  <si>
    <t>$B$4*$B$7</t>
  </si>
  <si>
    <t>IF(B9&lt;$B$4,$B$6*B9,$B$8*$B$6*B9)</t>
  </si>
  <si>
    <t>IF(B9&lt;$B$4,0,(1-$B$8)*$B$6*B9)</t>
  </si>
  <si>
    <t>COUNCIL RECEIVES 40% OF GATE RECEIPTS OVER 34000, 2 POUNDS/ATTENDANCE RENT</t>
  </si>
  <si>
    <t>CITY(-), COUNCIL(+)</t>
  </si>
  <si>
    <t>Asset Volatility</t>
  </si>
  <si>
    <t>AFTER SAMUELSON-McKEAN (1965)</t>
  </si>
  <si>
    <t>REAL OPTION PAYOFFS</t>
  </si>
  <si>
    <t>Option cost, y</t>
  </si>
  <si>
    <t>STRATEGY RESULT</t>
  </si>
  <si>
    <t>OWN ASSET-DEBT</t>
  </si>
  <si>
    <t>WRITE REAL CALL INTRINSIC</t>
  </si>
  <si>
    <t xml:space="preserve">  STRATEGY RESULT equals write real put on net asset value.</t>
  </si>
  <si>
    <t>B2+B3</t>
  </si>
  <si>
    <t>BUY REAL PUT INTRINSIC</t>
  </si>
  <si>
    <t xml:space="preserve">  STRATEGY RESULT equals buy real call on net asset value at nil exercise cost.</t>
  </si>
  <si>
    <t>IF(B2&lt;0,-B2-$B$6,-$B$6)</t>
  </si>
  <si>
    <t>BUY REAL CALL INTRINSIC</t>
  </si>
  <si>
    <t>NET ASSET VALUE</t>
  </si>
  <si>
    <t>REQUIRE USE OF NET ASSET</t>
  </si>
  <si>
    <t xml:space="preserve">  STRATEGY RESULT equals buy real put on net asset value.</t>
  </si>
  <si>
    <t>IF(B2&gt;0,B2-$B$7,-$B$7)</t>
  </si>
  <si>
    <t>B3+B4</t>
  </si>
  <si>
    <t>WRITE REAL PUT INTRINSIC</t>
  </si>
  <si>
    <t>IF(B2&lt;0,B2+$B$7,$B$7)</t>
  </si>
  <si>
    <t xml:space="preserve">  STRATEGY RESULT equals write real call on net asset value.</t>
  </si>
  <si>
    <t>Option cost, y2</t>
  </si>
  <si>
    <t>Option cost, y1</t>
  </si>
  <si>
    <t xml:space="preserve">  STRATEGY RESULT equals real collar.</t>
  </si>
  <si>
    <t>IF(B2&gt;$B$6,$B$6-B2+$B$9,$B$9)</t>
  </si>
  <si>
    <t>IF(B2&lt;$B$7,-B2-$B$7-$B$10,-$B$10)</t>
  </si>
  <si>
    <t>B2+B3+B4</t>
  </si>
  <si>
    <t>SHORT FUTURES POSITION</t>
  </si>
  <si>
    <t>Hedging cost, y</t>
  </si>
  <si>
    <t xml:space="preserve">  STRATEGY RESULT equals net gain/loss of hedging cost.</t>
  </si>
  <si>
    <t>REAL POSITION PAYOFFS</t>
  </si>
  <si>
    <t>Debt, K</t>
  </si>
  <si>
    <t xml:space="preserve">   Own asset subject to debt K, short an equivalent amount of commodity future, at hedging cost  y.</t>
  </si>
  <si>
    <t xml:space="preserve"> Own asset subject to debt K, give investor an option to buy net asset at nil cost, for immediate payment of option premium of y.</t>
  </si>
  <si>
    <t>Require use of  asset subject to debt K, buy option to buy net asset at nil cost, for immediate payment of option premium of y.</t>
  </si>
  <si>
    <t xml:space="preserve">   Own asset subject to debt K, buy right to sell asset at debt amount K, for immediate payment of option premium of y.</t>
  </si>
  <si>
    <t>Require use of  asset subject to debt K, write option to sell net asset at nil cost, for immediate payment of option premium of y.</t>
  </si>
  <si>
    <t xml:space="preserve">WRITE REAL CALL AT K2 INTRINSIC </t>
  </si>
  <si>
    <t>BUY REAL PUT AT K1 INTRINSIC</t>
  </si>
  <si>
    <t>K2</t>
  </si>
  <si>
    <t>K1</t>
  </si>
  <si>
    <t xml:space="preserve">   Own asset subject to debt K, buy a "costless protective put" (=protective collar).</t>
  </si>
  <si>
    <t>BENEFIT VOLATILITY</t>
  </si>
  <si>
    <t>EXCHANGE CALL OPTION VALUE</t>
  </si>
  <si>
    <r>
      <t xml:space="preserve">Yield, </t>
    </r>
    <r>
      <rPr>
        <sz val="10"/>
        <rFont val="Symbol"/>
        <family val="1"/>
        <charset val="2"/>
      </rPr>
      <t>d</t>
    </r>
  </si>
  <si>
    <r>
      <t>Riskless rate, r</t>
    </r>
    <r>
      <rPr>
        <vertAlign val="subscript"/>
        <sz val="10"/>
        <rFont val="Arial"/>
        <family val="2"/>
      </rPr>
      <t>f</t>
    </r>
  </si>
  <si>
    <r>
      <t xml:space="preserve">ROV </t>
    </r>
    <r>
      <rPr>
        <sz val="10"/>
        <rFont val="Symbol"/>
        <family val="1"/>
        <charset val="2"/>
      </rPr>
      <t>G</t>
    </r>
  </si>
  <si>
    <r>
      <t xml:space="preserve">ROV </t>
    </r>
    <r>
      <rPr>
        <sz val="10"/>
        <rFont val="Symbol"/>
        <family val="1"/>
        <charset val="2"/>
      </rPr>
      <t>D</t>
    </r>
  </si>
  <si>
    <r>
      <t>b</t>
    </r>
    <r>
      <rPr>
        <vertAlign val="subscript"/>
        <sz val="10"/>
        <rFont val="Symbol"/>
        <family val="1"/>
        <charset val="2"/>
      </rPr>
      <t>1</t>
    </r>
  </si>
  <si>
    <t>FIGURE</t>
  </si>
  <si>
    <t>PAGE</t>
  </si>
  <si>
    <t>OPTION TYPE</t>
  </si>
  <si>
    <t>p</t>
  </si>
  <si>
    <t xml:space="preserve">One-Step Binomial Call </t>
  </si>
  <si>
    <t>up</t>
  </si>
  <si>
    <t>down</t>
  </si>
  <si>
    <t>probability</t>
  </si>
  <si>
    <t>Call Value</t>
  </si>
  <si>
    <t>One-Step Binomial Put</t>
  </si>
  <si>
    <t>Put Value</t>
  </si>
  <si>
    <t>BINOMIAL_CALL</t>
  </si>
  <si>
    <t>BINOMIAL_PUT</t>
  </si>
  <si>
    <t>Put One Step Binomial</t>
  </si>
  <si>
    <t>Call One Step Binomial</t>
  </si>
  <si>
    <t>Real Value</t>
  </si>
  <si>
    <t>CALL INTRINSIC VALUE</t>
  </si>
  <si>
    <t>MAX(C5-C9,0)</t>
  </si>
  <si>
    <t>MAX(C7-C11,1.2)</t>
  </si>
  <si>
    <t>DISCOUNT RATE:RISKY ASSETS</t>
  </si>
  <si>
    <t>TIME OF INVESTMENT</t>
  </si>
  <si>
    <t>ASSUME: DON'T HAVE TO DEVELOP INFRASTRUCTURE FOR ONE YEAR.</t>
  </si>
  <si>
    <t>EXP(B2*SQRT(B4))</t>
  </si>
  <si>
    <t>1/B5</t>
  </si>
  <si>
    <t>(EXP(B3*B4)-B6)/(B5-B6)</t>
  </si>
  <si>
    <t>C21=</t>
  </si>
  <si>
    <t>C23=</t>
  </si>
  <si>
    <t>B22=</t>
  </si>
  <si>
    <t>MAX((C13-C17),0)</t>
  </si>
  <si>
    <t>MAX((C15-C19),0)</t>
  </si>
  <si>
    <t xml:space="preserve"> EXP(-B3*B4)*(C21*B7+(1-B7)*C23)</t>
  </si>
  <si>
    <t>MAX((-C13+C17),0)</t>
  </si>
  <si>
    <t>MAX((-C15+C19),0)</t>
  </si>
  <si>
    <t>GUIDE TO REAL VALUE_ EXCEL FILES</t>
  </si>
  <si>
    <t xml:space="preserve"> </t>
  </si>
  <si>
    <t>d1</t>
  </si>
  <si>
    <t>d2</t>
  </si>
  <si>
    <t>b</t>
  </si>
  <si>
    <t>V*</t>
  </si>
  <si>
    <t>NORMSDIST(B15)</t>
  </si>
  <si>
    <t>NORMSDIST(B16)</t>
  </si>
  <si>
    <t>IF(B3&gt;0,-B3+$B$7,$B$7)</t>
  </si>
  <si>
    <t>-B3+$B$7</t>
  </si>
  <si>
    <t>INPUT</t>
  </si>
  <si>
    <t>VOLATILITY</t>
  </si>
  <si>
    <t>N(d1)</t>
  </si>
  <si>
    <t>N(d2)</t>
  </si>
  <si>
    <t>OUTPUT</t>
  </si>
  <si>
    <t>A</t>
  </si>
  <si>
    <t>b1</t>
  </si>
  <si>
    <t>TIME OF NCF</t>
  </si>
  <si>
    <t>CHAPTER 1</t>
  </si>
  <si>
    <t>INTRINSIC CALL</t>
  </si>
  <si>
    <t>CALL OPTION</t>
  </si>
  <si>
    <t>CHAPTER 2</t>
  </si>
  <si>
    <t>BINOMIAL_CALL_PUT</t>
  </si>
  <si>
    <t>Call &amp; Put Binomial, No Income</t>
  </si>
  <si>
    <t>BLACK_SCHOLES</t>
  </si>
  <si>
    <t>Basic Black-Scholes</t>
  </si>
  <si>
    <t>DEFERRAL</t>
  </si>
  <si>
    <t>GROWTH</t>
  </si>
  <si>
    <t>EXCHANGE</t>
  </si>
  <si>
    <t>Margrabe Exchange</t>
  </si>
  <si>
    <t>CHAPTER 3</t>
  </si>
  <si>
    <t>HEDGING1</t>
  </si>
  <si>
    <t>"Perfect Hedging" with Futures</t>
  </si>
  <si>
    <t>STRATEGY1</t>
  </si>
  <si>
    <t>Write Put Strategy</t>
  </si>
  <si>
    <t>STRATEGY2</t>
  </si>
  <si>
    <t>Buy Put Strategy</t>
  </si>
  <si>
    <t>STRATEGY3</t>
  </si>
  <si>
    <t>Protective Put Strategy</t>
  </si>
  <si>
    <t>STRATEGY4</t>
  </si>
  <si>
    <t>Write Call Strategy</t>
  </si>
  <si>
    <t>STRATEGY5</t>
  </si>
  <si>
    <t>Collar Strategy</t>
  </si>
  <si>
    <t>SHARING</t>
  </si>
  <si>
    <t>CHAPTER 4</t>
  </si>
  <si>
    <t>SAMUELSON1</t>
  </si>
  <si>
    <t>Real American Perpetual Call Option</t>
  </si>
  <si>
    <t>SAMUELSON2</t>
  </si>
  <si>
    <t>DELTA, GAMMA</t>
  </si>
  <si>
    <t>Intrinsic Call Option Value</t>
  </si>
  <si>
    <t>Model and Intrinsic Call Option Value</t>
  </si>
  <si>
    <t>CALL_TIME</t>
  </si>
  <si>
    <t>Call Option vs. Time to Maturity</t>
  </si>
  <si>
    <t>CALL_VOLATILITY</t>
  </si>
  <si>
    <t>Call Option vs. Increasing Volatility</t>
  </si>
  <si>
    <t>Gate receipt sharing arrangement lease</t>
  </si>
  <si>
    <t>Delta, ROV, V* vs Volatility</t>
  </si>
  <si>
    <t>Perpetual Delta &amp; Gamma vs Interest Rates</t>
  </si>
  <si>
    <t>AMER_PERP</t>
  </si>
  <si>
    <t>EXERCISE</t>
  </si>
  <si>
    <t>EXERCISE PRICE</t>
  </si>
  <si>
    <t>TIME / YEARS</t>
  </si>
  <si>
    <t>CALL PRICE</t>
  </si>
  <si>
    <t>RISKLESS RATE</t>
  </si>
  <si>
    <t>ODE</t>
  </si>
  <si>
    <t>ASSET</t>
  </si>
  <si>
    <t>CALL INTRINSIC</t>
  </si>
  <si>
    <t>IF(N3&gt;N4,N3-N4,0)</t>
  </si>
  <si>
    <t>TIME TO EXPIRE</t>
  </si>
  <si>
    <t>RATE</t>
  </si>
  <si>
    <t>TIME</t>
  </si>
  <si>
    <t>Time</t>
  </si>
  <si>
    <t>Development</t>
  </si>
  <si>
    <t>u</t>
  </si>
  <si>
    <t>Values</t>
  </si>
  <si>
    <t>d</t>
  </si>
  <si>
    <t>Cost</t>
  </si>
  <si>
    <t>PROPERTY DEVELOPMENT WITH DEFER &amp; ABANDON OPTIONS</t>
  </si>
  <si>
    <t>One-Step Binomial Call &amp; Put</t>
  </si>
  <si>
    <t>VOL</t>
  </si>
  <si>
    <t>EXP(F3*SQRT(F5))</t>
  </si>
  <si>
    <t>1/F6</t>
  </si>
  <si>
    <t>(EXP(F4*F5)-F7)/(F6-F7)</t>
  </si>
  <si>
    <t>C13=</t>
  </si>
  <si>
    <t>Defer Option</t>
  </si>
  <si>
    <t>B14=</t>
  </si>
  <si>
    <t xml:space="preserve">                     EXP(-F4*F5)*C13*F8</t>
  </si>
  <si>
    <t>With Abandonment Option</t>
  </si>
  <si>
    <t>Combined</t>
  </si>
  <si>
    <t>Options</t>
  </si>
  <si>
    <t>B18=</t>
  </si>
  <si>
    <t xml:space="preserve">                                            EXP(-F4*F5)*(C17*F8+(1-F8)*C19)</t>
  </si>
  <si>
    <t>C19=</t>
  </si>
  <si>
    <t>#1 Session</t>
  </si>
  <si>
    <t>#2 Session</t>
  </si>
  <si>
    <t>SQRT(B8^2 + B9^2 -2*B10*B9*B8)</t>
  </si>
  <si>
    <t>B3*B17*EXP(-B6*B5)-B4*B18*EXP(-B7*B5)</t>
  </si>
  <si>
    <t>(LN(B3/B4)+(B7-B6+(B11^2)/2)*B5)/(B11*SQRT(B5))</t>
  </si>
  <si>
    <t>B15-B11*SQRT(B5)</t>
  </si>
  <si>
    <t>HOLD REAL CALL INTRINSIC</t>
  </si>
  <si>
    <t>Own property subject to debt K, hold an option to renovate net asset at nil cost, immediate payment of option premium of y.</t>
  </si>
  <si>
    <t xml:space="preserve">  STRATEGY RESULT equals extreme upside potential, downside reduced by option premium.</t>
  </si>
  <si>
    <t>IF(B2&lt;0,B2-$B$6,-$B$6)</t>
  </si>
  <si>
    <t>OWN LEVERAGED PROPERTY</t>
  </si>
  <si>
    <t>RENOVATION REQUIREMENT</t>
  </si>
  <si>
    <t>IF(B2&lt;0,B2+$B$6,+$B$6)</t>
  </si>
  <si>
    <t>Own property subject to debt K, have requirement to renovate up to K value for receipt of put option premium of y.</t>
  </si>
  <si>
    <t xml:space="preserve">  STRATEGY RESULT equals extreme downside potential, and slight improvement in upside.</t>
  </si>
  <si>
    <t>Renovation Opportunity</t>
  </si>
  <si>
    <t>Renovation Requirement</t>
  </si>
  <si>
    <t>EMBEDDED OPTIONS 1</t>
  </si>
  <si>
    <t>EMBEDDED OPTIONS 2</t>
  </si>
  <si>
    <t>Perpetual American Option ODE</t>
  </si>
  <si>
    <t>EQS</t>
  </si>
  <si>
    <t>4.11, 4.16</t>
  </si>
  <si>
    <t>A7</t>
  </si>
  <si>
    <t>A8</t>
  </si>
  <si>
    <t>WRITE REAL CALL AT K2 +K</t>
  </si>
  <si>
    <t>BUY REAL PUT AT K1 +K</t>
  </si>
  <si>
    <t>B2+B4+B5</t>
  </si>
  <si>
    <t>IF(B2&gt;$B$7,$B$7-B2+$B$10,$B$10)</t>
  </si>
  <si>
    <t>IF(B2&lt;$B$8,-B2-$B$8-$B$11,-$B$11)</t>
  </si>
  <si>
    <t>Protect</t>
  </si>
  <si>
    <t>Protective Collar Strategy</t>
  </si>
  <si>
    <t>IF(B3&lt;B11,B12*(B3^B13),B10)</t>
  </si>
  <si>
    <t>(B13/(B13-1))*B4</t>
  </si>
  <si>
    <t>(B11-B4)/(B11^B13)</t>
  </si>
  <si>
    <t>0.5*(B5^2)*(B3^2)*B17+(B6-B7)*B3*B16-B6*B9</t>
  </si>
  <si>
    <t>IF(B3&lt;B11,B12*B13*(B3^(B13-1)),1)</t>
  </si>
  <si>
    <t>IF(B3&lt;B11,B12*B13*(B13-1)*(B3^(B13-2)),0)</t>
  </si>
  <si>
    <t>B12*B13*(B11^(B13-1))</t>
  </si>
  <si>
    <t>IF(B3&lt;B11,B12*(B11^B13),B10)</t>
  </si>
  <si>
    <t>B11-B4</t>
  </si>
  <si>
    <t>#3 Session</t>
  </si>
  <si>
    <t>REAL OPTIONS 19/ROV EXCEL EARLY 2019.xls</t>
  </si>
  <si>
    <t xml:space="preserve">                      Improved Tourinho Model: Option to invest with holding cost &amp; conyield</t>
  </si>
  <si>
    <t>Allows for X escalation and royalities</t>
  </si>
  <si>
    <t>Oil price V</t>
  </si>
  <si>
    <t>Extraction cost X</t>
  </si>
  <si>
    <t>Volatility σ</t>
  </si>
  <si>
    <t>σ^2</t>
  </si>
  <si>
    <t>Risk-free rate</t>
  </si>
  <si>
    <t>Holding cost h</t>
  </si>
  <si>
    <t>Convenience yield</t>
  </si>
  <si>
    <t>X Escalation  Rate, g</t>
  </si>
  <si>
    <r>
      <t xml:space="preserve">Royalty, </t>
    </r>
    <r>
      <rPr>
        <sz val="11"/>
        <rFont val="Symbol"/>
        <family val="1"/>
        <charset val="2"/>
      </rPr>
      <t>t</t>
    </r>
  </si>
  <si>
    <r>
      <t xml:space="preserve">V drift, </t>
    </r>
    <r>
      <rPr>
        <sz val="11"/>
        <rFont val="Symbol"/>
        <family val="1"/>
        <charset val="2"/>
      </rPr>
      <t>a</t>
    </r>
  </si>
  <si>
    <t>T1</t>
  </si>
  <si>
    <t>0.5-(B7-B9-B10)/B6</t>
  </si>
  <si>
    <t>T2</t>
  </si>
  <si>
    <t>B13^2+2*(B7-B10)/B6</t>
  </si>
  <si>
    <r>
      <t>β</t>
    </r>
    <r>
      <rPr>
        <vertAlign val="subscript"/>
        <sz val="11"/>
        <rFont val="Arial"/>
        <family val="2"/>
      </rPr>
      <t>1</t>
    </r>
  </si>
  <si>
    <t>B13+SQRT(B14)</t>
  </si>
  <si>
    <r>
      <t>β</t>
    </r>
    <r>
      <rPr>
        <vertAlign val="subscript"/>
        <sz val="11"/>
        <rFont val="Arial"/>
        <family val="2"/>
      </rPr>
      <t>2</t>
    </r>
  </si>
  <si>
    <t>B13-SQRT(B14)</t>
  </si>
  <si>
    <t>h/r</t>
  </si>
  <si>
    <t>B8/B7</t>
  </si>
  <si>
    <t>-2*B7/B6</t>
  </si>
  <si>
    <t>V*(1-t)</t>
  </si>
  <si>
    <t>B20*(1-B11)</t>
  </si>
  <si>
    <t>Z</t>
  </si>
  <si>
    <t>A1</t>
  </si>
  <si>
    <t>(-B16/(B15-B16))*B17/B21^B15</t>
  </si>
  <si>
    <t>A2</t>
  </si>
  <si>
    <t>(-B15/B16)*B22*B21^(B15-B16)</t>
  </si>
  <si>
    <t>C(V)</t>
  </si>
  <si>
    <t>B22*(B3^B15)+B23*(B3^B16)-B8/B7</t>
  </si>
  <si>
    <t>V(V)  EQ 14</t>
  </si>
  <si>
    <t>B22*(B3^B15)+B23*(B3^B16)+(B20*B11-B8/B7)*(B3/B20)^(B7/(B12-0.5*(B6)))</t>
  </si>
  <si>
    <t>EQ C9</t>
  </si>
  <si>
    <t>(-B16/(1-B16))*(B4-B17*(1-(B20/B21)^B15))-B19</t>
  </si>
  <si>
    <t>EQ C10</t>
  </si>
  <si>
    <t>(B15/(B15-1))*(B4-B17*(1-(B20/B21)^B16))-B19</t>
  </si>
  <si>
    <t>SOLVER</t>
  </si>
  <si>
    <t>ABS(B26)+ABS(B27)</t>
  </si>
  <si>
    <t>SOLVER  SET B28=0, CHANGING B20:B21</t>
  </si>
  <si>
    <t>B3*B14-B4*B15*EXP(-B5*B8)</t>
  </si>
  <si>
    <t>(LN(B3/B4)+(B5+B9^2/2)*B8)/(B9*SQRT(B8))</t>
  </si>
  <si>
    <t>B12-B9*SQRT(B8)</t>
  </si>
  <si>
    <t>NORMSDIST(B12)</t>
  </si>
  <si>
    <t>NORMSDIST(B13)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</si>
</sst>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£&quot;#,##0.00;[Red]\-&quot;£&quot;#,##0.00"/>
    <numFmt numFmtId="165" formatCode="0.0000"/>
    <numFmt numFmtId="166" formatCode="0.000"/>
    <numFmt numFmtId="167" formatCode="0.0%"/>
    <numFmt numFmtId="168" formatCode="0.00_)"/>
    <numFmt numFmtId="169" formatCode="[$$-409]#,##0.00"/>
    <numFmt numFmtId="170" formatCode="&quot;£&quot;#,##0.00"/>
    <numFmt numFmtId="171" formatCode="#,##0.00_ ;[Red]\-#,##0.00\ "/>
    <numFmt numFmtId="172" formatCode="&quot;£&quot;#,##0"/>
  </numFmts>
  <fonts count="3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sz val="10"/>
      <color indexed="12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Courier"/>
      <family val="3"/>
    </font>
    <font>
      <b/>
      <sz val="14"/>
      <name val="Arial"/>
      <family val="2"/>
    </font>
    <font>
      <b/>
      <sz val="10"/>
      <color indexed="12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vertAlign val="subscript"/>
      <sz val="10"/>
      <name val="Symbol"/>
      <family val="1"/>
      <charset val="2"/>
    </font>
    <font>
      <b/>
      <sz val="5"/>
      <name val="Arial"/>
      <family val="2"/>
    </font>
    <font>
      <sz val="11"/>
      <color theme="1"/>
      <name val="Calibri"/>
      <family val="2"/>
      <charset val="134"/>
      <scheme val="minor"/>
    </font>
    <font>
      <sz val="11"/>
      <name val="Arial"/>
      <family val="2"/>
    </font>
    <font>
      <sz val="11"/>
      <name val="Symbol"/>
      <family val="1"/>
      <charset val="2"/>
    </font>
    <font>
      <vertAlign val="subscript"/>
      <sz val="11"/>
      <name val="Arial"/>
      <family val="2"/>
    </font>
    <font>
      <sz val="9"/>
      <color indexed="18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0" fillId="0" borderId="0">
      <alignment vertical="center"/>
    </xf>
  </cellStyleXfs>
  <cellXfs count="114">
    <xf numFmtId="0" fontId="0" fillId="0" borderId="0" xfId="0"/>
    <xf numFmtId="0" fontId="4" fillId="0" borderId="0" xfId="0" applyFont="1"/>
    <xf numFmtId="166" fontId="0" fillId="0" borderId="0" xfId="0" applyNumberFormat="1"/>
    <xf numFmtId="2" fontId="0" fillId="0" borderId="0" xfId="0" applyNumberFormat="1"/>
    <xf numFmtId="165" fontId="0" fillId="0" borderId="0" xfId="0" applyNumberFormat="1" applyBorder="1"/>
    <xf numFmtId="0" fontId="6" fillId="0" borderId="0" xfId="0" applyFont="1"/>
    <xf numFmtId="166" fontId="6" fillId="0" borderId="0" xfId="0" applyNumberFormat="1" applyFont="1"/>
    <xf numFmtId="0" fontId="0" fillId="0" borderId="0" xfId="0" applyAlignment="1" applyProtection="1">
      <alignment horizontal="left"/>
    </xf>
    <xf numFmtId="2" fontId="0" fillId="0" borderId="0" xfId="0" applyNumberFormat="1" applyBorder="1"/>
    <xf numFmtId="2" fontId="6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2" fillId="0" borderId="0" xfId="0" applyFont="1"/>
    <xf numFmtId="1" fontId="9" fillId="0" borderId="0" xfId="0" applyNumberFormat="1" applyFont="1"/>
    <xf numFmtId="2" fontId="0" fillId="0" borderId="0" xfId="0" applyNumberFormat="1" applyProtection="1"/>
    <xf numFmtId="2" fontId="9" fillId="0" borderId="0" xfId="0" applyNumberFormat="1" applyFont="1"/>
    <xf numFmtId="2" fontId="6" fillId="0" borderId="0" xfId="0" applyNumberFormat="1" applyFont="1"/>
    <xf numFmtId="0" fontId="11" fillId="0" borderId="0" xfId="0" applyFont="1" applyAlignment="1">
      <alignment horizontal="centerContinuous"/>
    </xf>
    <xf numFmtId="0" fontId="3" fillId="0" borderId="0" xfId="0" applyFont="1"/>
    <xf numFmtId="0" fontId="1" fillId="0" borderId="0" xfId="0" applyFont="1"/>
    <xf numFmtId="0" fontId="12" fillId="0" borderId="0" xfId="0" applyFont="1" applyAlignment="1">
      <alignment horizontal="centerContinuous"/>
    </xf>
    <xf numFmtId="0" fontId="9" fillId="0" borderId="0" xfId="0" applyFont="1"/>
    <xf numFmtId="0" fontId="13" fillId="0" borderId="0" xfId="0" applyFont="1" applyProtection="1">
      <protection locked="0"/>
    </xf>
    <xf numFmtId="168" fontId="0" fillId="0" borderId="0" xfId="0" applyNumberFormat="1" applyProtection="1"/>
    <xf numFmtId="0" fontId="14" fillId="0" borderId="0" xfId="0" applyFont="1" applyAlignment="1">
      <alignment horizontal="centerContinuous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166" fontId="0" fillId="0" borderId="0" xfId="0" applyNumberFormat="1" applyBorder="1"/>
    <xf numFmtId="166" fontId="14" fillId="0" borderId="0" xfId="0" applyNumberFormat="1" applyFont="1" applyBorder="1" applyAlignment="1">
      <alignment horizontal="centerContinuous"/>
    </xf>
    <xf numFmtId="0" fontId="0" fillId="0" borderId="4" xfId="0" applyBorder="1"/>
    <xf numFmtId="166" fontId="0" fillId="0" borderId="4" xfId="0" applyNumberFormat="1" applyBorder="1"/>
    <xf numFmtId="0" fontId="0" fillId="0" borderId="8" xfId="0" applyBorder="1"/>
    <xf numFmtId="0" fontId="3" fillId="0" borderId="0" xfId="0" applyFont="1" applyAlignment="1">
      <alignment horizontal="centerContinuous"/>
    </xf>
    <xf numFmtId="166" fontId="15" fillId="0" borderId="0" xfId="0" applyNumberFormat="1" applyFont="1" applyBorder="1" applyAlignment="1">
      <alignment horizontal="centerContinuous"/>
    </xf>
    <xf numFmtId="0" fontId="15" fillId="0" borderId="0" xfId="0" applyFont="1"/>
    <xf numFmtId="0" fontId="16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172" fontId="17" fillId="0" borderId="0" xfId="0" applyNumberFormat="1" applyFont="1" applyAlignment="1" applyProtection="1">
      <alignment horizontal="right"/>
    </xf>
    <xf numFmtId="164" fontId="18" fillId="0" borderId="0" xfId="0" applyNumberFormat="1" applyFont="1" applyProtection="1">
      <protection locked="0"/>
    </xf>
    <xf numFmtId="172" fontId="18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170" fontId="19" fillId="0" borderId="0" xfId="0" quotePrefix="1" applyNumberFormat="1" applyFont="1" applyProtection="1"/>
    <xf numFmtId="164" fontId="0" fillId="0" borderId="0" xfId="0" applyNumberFormat="1"/>
    <xf numFmtId="168" fontId="19" fillId="0" borderId="0" xfId="0" applyNumberFormat="1" applyFont="1" applyProtection="1"/>
    <xf numFmtId="0" fontId="19" fillId="0" borderId="0" xfId="0" applyFont="1" applyAlignment="1" applyProtection="1">
      <alignment horizontal="centerContinuous"/>
    </xf>
    <xf numFmtId="0" fontId="19" fillId="0" borderId="0" xfId="0" applyFont="1" applyAlignment="1">
      <alignment horizontal="centerContinuous"/>
    </xf>
    <xf numFmtId="0" fontId="0" fillId="0" borderId="0" xfId="0" applyAlignment="1" applyProtection="1">
      <alignment horizontal="center"/>
    </xf>
    <xf numFmtId="172" fontId="13" fillId="0" borderId="0" xfId="0" applyNumberFormat="1" applyFont="1" applyProtection="1">
      <protection locked="0"/>
    </xf>
    <xf numFmtId="171" fontId="13" fillId="0" borderId="0" xfId="0" applyNumberFormat="1" applyFont="1" applyProtection="1">
      <protection locked="0"/>
    </xf>
    <xf numFmtId="2" fontId="13" fillId="0" borderId="0" xfId="0" applyNumberFormat="1" applyFont="1" applyProtection="1">
      <protection locked="0"/>
    </xf>
    <xf numFmtId="170" fontId="14" fillId="0" borderId="0" xfId="0" applyNumberFormat="1" applyFont="1"/>
    <xf numFmtId="170" fontId="14" fillId="0" borderId="0" xfId="0" quotePrefix="1" applyNumberFormat="1" applyFont="1"/>
    <xf numFmtId="0" fontId="11" fillId="0" borderId="1" xfId="0" applyFont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0" fontId="0" fillId="0" borderId="6" xfId="0" applyBorder="1" applyAlignment="1" applyProtection="1">
      <alignment horizontal="left"/>
    </xf>
    <xf numFmtId="4" fontId="0" fillId="0" borderId="0" xfId="0" applyNumberFormat="1" applyBorder="1"/>
    <xf numFmtId="2" fontId="13" fillId="0" borderId="0" xfId="0" applyNumberFormat="1" applyFont="1" applyBorder="1" applyProtection="1">
      <protection locked="0"/>
    </xf>
    <xf numFmtId="2" fontId="20" fillId="0" borderId="0" xfId="0" applyNumberFormat="1" applyFont="1" applyBorder="1" applyProtection="1">
      <protection locked="0"/>
    </xf>
    <xf numFmtId="0" fontId="21" fillId="0" borderId="0" xfId="0" applyFont="1" applyAlignment="1">
      <alignment horizontal="centerContinuous" vertical="justify" wrapText="1"/>
    </xf>
    <xf numFmtId="0" fontId="0" fillId="0" borderId="0" xfId="0" applyAlignment="1">
      <alignment horizontal="centerContinuous" vertical="justify" wrapText="1"/>
    </xf>
    <xf numFmtId="0" fontId="21" fillId="0" borderId="0" xfId="0" applyFont="1"/>
    <xf numFmtId="0" fontId="0" fillId="0" borderId="0" xfId="0" quotePrefix="1"/>
    <xf numFmtId="3" fontId="0" fillId="0" borderId="0" xfId="0" applyNumberFormat="1"/>
    <xf numFmtId="0" fontId="8" fillId="0" borderId="0" xfId="0" applyFont="1" applyAlignment="1">
      <alignment horizontal="centerContinuous" vertical="justify" wrapText="1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169" fontId="0" fillId="0" borderId="0" xfId="0" applyNumberFormat="1" applyBorder="1"/>
    <xf numFmtId="4" fontId="6" fillId="0" borderId="0" xfId="0" applyNumberFormat="1" applyFont="1" applyBorder="1"/>
    <xf numFmtId="169" fontId="6" fillId="0" borderId="0" xfId="0" applyNumberFormat="1" applyFont="1" applyBorder="1"/>
    <xf numFmtId="2" fontId="27" fillId="0" borderId="0" xfId="0" applyNumberFormat="1" applyFont="1" applyBorder="1"/>
    <xf numFmtId="170" fontId="0" fillId="0" borderId="0" xfId="0" applyNumberFormat="1" applyBorder="1"/>
    <xf numFmtId="2" fontId="27" fillId="0" borderId="4" xfId="0" applyNumberFormat="1" applyFont="1" applyBorder="1"/>
    <xf numFmtId="167" fontId="0" fillId="0" borderId="0" xfId="0" applyNumberFormat="1" applyBorder="1"/>
    <xf numFmtId="0" fontId="10" fillId="0" borderId="0" xfId="0" applyFont="1"/>
    <xf numFmtId="167" fontId="0" fillId="0" borderId="0" xfId="0" applyNumberFormat="1"/>
    <xf numFmtId="0" fontId="10" fillId="0" borderId="0" xfId="0" applyFont="1" applyBorder="1"/>
    <xf numFmtId="0" fontId="0" fillId="0" borderId="0" xfId="0" applyAlignment="1">
      <alignment horizontal="center"/>
    </xf>
    <xf numFmtId="166" fontId="0" fillId="0" borderId="7" xfId="0" applyNumberFormat="1" applyBorder="1"/>
    <xf numFmtId="166" fontId="0" fillId="0" borderId="8" xfId="0" applyNumberFormat="1" applyBorder="1"/>
    <xf numFmtId="0" fontId="0" fillId="0" borderId="0" xfId="0" applyFont="1"/>
    <xf numFmtId="0" fontId="6" fillId="0" borderId="0" xfId="0" applyFont="1" applyAlignment="1" applyProtection="1">
      <alignment horizontal="left"/>
    </xf>
    <xf numFmtId="170" fontId="0" fillId="0" borderId="0" xfId="0" applyNumberFormat="1" applyProtection="1"/>
    <xf numFmtId="0" fontId="29" fillId="0" borderId="0" xfId="0" applyFont="1"/>
    <xf numFmtId="4" fontId="7" fillId="0" borderId="0" xfId="0" applyNumberFormat="1" applyFont="1" applyBorder="1" applyProtection="1"/>
    <xf numFmtId="2" fontId="1" fillId="0" borderId="0" xfId="0" applyNumberFormat="1" applyFont="1" applyBorder="1" applyProtection="1"/>
    <xf numFmtId="0" fontId="5" fillId="0" borderId="0" xfId="0" applyFont="1" applyAlignment="1">
      <alignment horizontal="centerContinuous" vertical="justify" wrapText="1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2" fillId="0" borderId="0" xfId="0" applyNumberFormat="1" applyFont="1"/>
    <xf numFmtId="0" fontId="1" fillId="0" borderId="0" xfId="0" applyFont="1" applyAlignment="1" applyProtection="1">
      <alignment horizontal="left"/>
    </xf>
    <xf numFmtId="0" fontId="31" fillId="0" borderId="0" xfId="0" applyFont="1"/>
    <xf numFmtId="2" fontId="31" fillId="0" borderId="0" xfId="0" applyNumberFormat="1" applyFont="1"/>
    <xf numFmtId="9" fontId="31" fillId="0" borderId="0" xfId="0" applyNumberFormat="1" applyFont="1"/>
    <xf numFmtId="0" fontId="14" fillId="0" borderId="0" xfId="0" applyFont="1"/>
    <xf numFmtId="167" fontId="31" fillId="0" borderId="0" xfId="0" applyNumberFormat="1" applyFont="1"/>
    <xf numFmtId="2" fontId="14" fillId="0" borderId="0" xfId="0" applyNumberFormat="1" applyFont="1"/>
    <xf numFmtId="165" fontId="31" fillId="0" borderId="0" xfId="0" applyNumberFormat="1" applyFont="1"/>
    <xf numFmtId="165" fontId="31" fillId="0" borderId="0" xfId="0" quotePrefix="1" applyNumberFormat="1" applyFont="1"/>
    <xf numFmtId="0" fontId="31" fillId="0" borderId="0" xfId="0" quotePrefix="1" applyFont="1"/>
    <xf numFmtId="165" fontId="14" fillId="0" borderId="0" xfId="0" applyNumberFormat="1" applyFont="1"/>
    <xf numFmtId="3" fontId="31" fillId="0" borderId="0" xfId="0" applyNumberFormat="1" applyFont="1"/>
    <xf numFmtId="165" fontId="5" fillId="0" borderId="0" xfId="0" applyNumberFormat="1" applyFont="1"/>
    <xf numFmtId="2" fontId="1" fillId="0" borderId="0" xfId="0" applyNumberFormat="1" applyFont="1" applyProtection="1"/>
    <xf numFmtId="166" fontId="1" fillId="0" borderId="0" xfId="0" applyNumberFormat="1" applyFont="1" applyProtection="1"/>
    <xf numFmtId="164" fontId="34" fillId="0" borderId="0" xfId="0" applyNumberFormat="1" applyFont="1" applyProtection="1">
      <protection locked="0"/>
    </xf>
    <xf numFmtId="170" fontId="15" fillId="0" borderId="0" xfId="0" quotePrefix="1" applyNumberFormat="1" applyFont="1" applyProtection="1"/>
    <xf numFmtId="2" fontId="15" fillId="0" borderId="0" xfId="0" applyNumberFormat="1" applyFont="1" applyProtection="1"/>
    <xf numFmtId="166" fontId="15" fillId="0" borderId="0" xfId="0" applyNumberFormat="1" applyFont="1" applyProtection="1"/>
  </cellXfs>
  <cellStyles count="2">
    <cellStyle name="Normal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890044576523163"/>
          <c:y val="3.6423841059602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751914491951333E-2"/>
          <c:y val="0.21192052980132509"/>
          <c:w val="0.57503756430915409"/>
          <c:h val="0.52980132450331163"/>
        </c:manualLayout>
      </c:layout>
      <c:lineChart>
        <c:grouping val="standard"/>
        <c:varyColors val="0"/>
        <c:ser>
          <c:idx val="0"/>
          <c:order val="0"/>
          <c:tx>
            <c:strRef>
              <c:f>'INTRINSIC CALL'!$A$5</c:f>
              <c:strCache>
                <c:ptCount val="1"/>
                <c:pt idx="0">
                  <c:v>CALL INTRINSIC VALUE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'INTRINSIC CALL'!$B$3:$N$3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'INTRINSIC CALL'!$B$5:$N$5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50</c:v>
                </c:pt>
                <c:pt idx="7">
                  <c:v>75</c:v>
                </c:pt>
                <c:pt idx="8">
                  <c:v>100</c:v>
                </c:pt>
                <c:pt idx="9">
                  <c:v>125</c:v>
                </c:pt>
                <c:pt idx="10">
                  <c:v>150</c:v>
                </c:pt>
                <c:pt idx="11">
                  <c:v>175</c:v>
                </c:pt>
                <c:pt idx="12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B9-4F36-983B-F6915B6BA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739968"/>
        <c:axId val="173394176"/>
      </c:lineChart>
      <c:catAx>
        <c:axId val="17273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ASSET VALUE</a:t>
                </a:r>
              </a:p>
            </c:rich>
          </c:tx>
          <c:layout>
            <c:manualLayout>
              <c:xMode val="edge"/>
              <c:yMode val="edge"/>
              <c:x val="0.28826167160011384"/>
              <c:y val="0.857615894039738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39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39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7399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093657497864758"/>
          <c:y val="0.43708609271523313"/>
          <c:w val="0.29717697620635625"/>
          <c:h val="7.9470198675496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</a:t>
            </a:r>
            <a:r>
              <a:rPr lang="en-US" baseline="0"/>
              <a:t> TO PROTECT AN ASSET VALUE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Protect!$A$2</c:f>
              <c:strCache>
                <c:ptCount val="1"/>
                <c:pt idx="0">
                  <c:v>OWN ASSET-DEBT</c:v>
                </c:pt>
              </c:strCache>
            </c:strRef>
          </c:tx>
          <c:cat>
            <c:numRef>
              <c:f>Protect!$B$6:$N$6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Protect!$B$2:$N$2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54-4AF4-AE95-F21A8E981323}"/>
            </c:ext>
          </c:extLst>
        </c:ser>
        <c:ser>
          <c:idx val="1"/>
          <c:order val="1"/>
          <c:tx>
            <c:strRef>
              <c:f>Protect!$A$3</c:f>
              <c:strCache>
                <c:ptCount val="1"/>
                <c:pt idx="0">
                  <c:v>STRATEGY RESULT</c:v>
                </c:pt>
              </c:strCache>
            </c:strRef>
          </c:tx>
          <c:cat>
            <c:numRef>
              <c:f>Protect!$B$6:$N$6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Protect!$B$3:$N$3</c:f>
              <c:numCache>
                <c:formatCode>#,##0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54-4AF4-AE95-F21A8E981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67712"/>
        <c:axId val="174514944"/>
      </c:lineChart>
      <c:catAx>
        <c:axId val="17446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ASSET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4514944"/>
        <c:crosses val="autoZero"/>
        <c:auto val="1"/>
        <c:lblAlgn val="ctr"/>
        <c:lblOffset val="100"/>
        <c:noMultiLvlLbl val="0"/>
      </c:catAx>
      <c:valAx>
        <c:axId val="1745149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44677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PROTECT</a:t>
            </a:r>
            <a:r>
              <a:rPr lang="en-US" baseline="0"/>
              <a:t> AN ASSET VALUE </a:t>
            </a:r>
          </a:p>
          <a:p>
            <a:pPr>
              <a:defRPr/>
            </a:pPr>
            <a:r>
              <a:rPr lang="en-US" baseline="0"/>
              <a:t>THROUGH A "LOW COST" COLLAR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Protect!$A$2</c:f>
              <c:strCache>
                <c:ptCount val="1"/>
                <c:pt idx="0">
                  <c:v>OWN ASSET-DEBT</c:v>
                </c:pt>
              </c:strCache>
            </c:strRef>
          </c:tx>
          <c:cat>
            <c:numRef>
              <c:f>Protect!$B$6:$N$6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Protect!$B$2:$N$2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BE-4E89-A83D-7456BF24E7D5}"/>
            </c:ext>
          </c:extLst>
        </c:ser>
        <c:ser>
          <c:idx val="1"/>
          <c:order val="1"/>
          <c:tx>
            <c:strRef>
              <c:f>Protect!$A$3</c:f>
              <c:strCache>
                <c:ptCount val="1"/>
                <c:pt idx="0">
                  <c:v>STRATEGY RESULT</c:v>
                </c:pt>
              </c:strCache>
            </c:strRef>
          </c:tx>
          <c:cat>
            <c:numRef>
              <c:f>Protect!$B$6:$N$6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Protect!$B$3:$N$3</c:f>
              <c:numCache>
                <c:formatCode>#,##0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BE-4E89-A83D-7456BF24E7D5}"/>
            </c:ext>
          </c:extLst>
        </c:ser>
        <c:ser>
          <c:idx val="2"/>
          <c:order val="2"/>
          <c:tx>
            <c:strRef>
              <c:f>Protect!$A$4</c:f>
              <c:strCache>
                <c:ptCount val="1"/>
                <c:pt idx="0">
                  <c:v>WRITE REAL CALL AT K2 +K</c:v>
                </c:pt>
              </c:strCache>
            </c:strRef>
          </c:tx>
          <c:cat>
            <c:numRef>
              <c:f>Protect!$B$6:$N$6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Protect!$B$4:$N$4</c:f>
              <c:numCache>
                <c:formatCode>#,##0</c:formatCode>
                <c:ptCount val="13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0</c:v>
                </c:pt>
                <c:pt idx="9">
                  <c:v>-25</c:v>
                </c:pt>
                <c:pt idx="10">
                  <c:v>-50</c:v>
                </c:pt>
                <c:pt idx="11">
                  <c:v>-75</c:v>
                </c:pt>
                <c:pt idx="12">
                  <c:v>-100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BE-4E89-A83D-7456BF24E7D5}"/>
            </c:ext>
          </c:extLst>
        </c:ser>
        <c:ser>
          <c:idx val="3"/>
          <c:order val="3"/>
          <c:tx>
            <c:strRef>
              <c:f>Protect!$A$5</c:f>
              <c:strCache>
                <c:ptCount val="1"/>
                <c:pt idx="0">
                  <c:v>BUY REAL PUT AT K1 +K</c:v>
                </c:pt>
              </c:strCache>
            </c:strRef>
          </c:tx>
          <c:cat>
            <c:numRef>
              <c:f>Protect!$B$6:$N$6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Protect!$B$5:$N$5</c:f>
              <c:numCache>
                <c:formatCode>#,##0</c:formatCode>
                <c:ptCount val="13"/>
                <c:pt idx="0">
                  <c:v>140</c:v>
                </c:pt>
                <c:pt idx="1">
                  <c:v>115</c:v>
                </c:pt>
                <c:pt idx="2">
                  <c:v>90</c:v>
                </c:pt>
                <c:pt idx="3">
                  <c:v>65</c:v>
                </c:pt>
                <c:pt idx="4">
                  <c:v>40</c:v>
                </c:pt>
                <c:pt idx="5">
                  <c:v>15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BE-4E89-A83D-7456BF24E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88896"/>
        <c:axId val="174694784"/>
      </c:lineChart>
      <c:catAx>
        <c:axId val="17468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Asset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4694784"/>
        <c:crosses val="autoZero"/>
        <c:auto val="1"/>
        <c:lblAlgn val="ctr"/>
        <c:lblOffset val="100"/>
        <c:noMultiLvlLbl val="0"/>
      </c:catAx>
      <c:valAx>
        <c:axId val="1746947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46888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STRATEGY 5: BUYING REAL "COLLAR" TO PROTECT EXPOSED NET ASSETS</a:t>
            </a:r>
          </a:p>
        </c:rich>
      </c:tx>
      <c:layout>
        <c:manualLayout>
          <c:xMode val="edge"/>
          <c:yMode val="edge"/>
          <c:x val="0.11951219512195121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024443254837896E-2"/>
          <c:y val="0.29729729729729731"/>
          <c:w val="0.55853691795500549"/>
          <c:h val="0.53808353808353804"/>
        </c:manualLayout>
      </c:layout>
      <c:lineChart>
        <c:grouping val="standard"/>
        <c:varyColors val="0"/>
        <c:ser>
          <c:idx val="0"/>
          <c:order val="0"/>
          <c:tx>
            <c:strRef>
              <c:f>STRATEGY5!$A$2</c:f>
              <c:strCache>
                <c:ptCount val="1"/>
                <c:pt idx="0">
                  <c:v>OWN ASSET-DEBT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STRATEGY5!$B$2:$N$2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STRATEGY5!$B$2:$N$2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8A-47CD-B4C1-31BB3E1EDE42}"/>
            </c:ext>
          </c:extLst>
        </c:ser>
        <c:ser>
          <c:idx val="1"/>
          <c:order val="1"/>
          <c:tx>
            <c:strRef>
              <c:f>STRATEGY5!$A$3</c:f>
              <c:strCache>
                <c:ptCount val="1"/>
                <c:pt idx="0">
                  <c:v>WRITE REAL CALL AT K2 INTRINSIC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STRATEGY5!$B$2:$N$2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STRATEGY5!$B$3:$N$3</c:f>
              <c:numCache>
                <c:formatCode>#,##0</c:formatCode>
                <c:ptCount val="13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0</c:v>
                </c:pt>
                <c:pt idx="9">
                  <c:v>-25</c:v>
                </c:pt>
                <c:pt idx="10">
                  <c:v>-50</c:v>
                </c:pt>
                <c:pt idx="11">
                  <c:v>-75</c:v>
                </c:pt>
                <c:pt idx="12">
                  <c:v>-100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8A-47CD-B4C1-31BB3E1EDE42}"/>
            </c:ext>
          </c:extLst>
        </c:ser>
        <c:ser>
          <c:idx val="2"/>
          <c:order val="2"/>
          <c:tx>
            <c:strRef>
              <c:f>STRATEGY5!$A$4</c:f>
              <c:strCache>
                <c:ptCount val="1"/>
                <c:pt idx="0">
                  <c:v>BUY REAL PUT AT K1 INTRINSIC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STRATEGY5!$B$2:$N$2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STRATEGY5!$B$4:$N$4</c:f>
              <c:numCache>
                <c:formatCode>#,##0</c:formatCode>
                <c:ptCount val="13"/>
                <c:pt idx="0">
                  <c:v>140</c:v>
                </c:pt>
                <c:pt idx="1">
                  <c:v>115</c:v>
                </c:pt>
                <c:pt idx="2">
                  <c:v>90</c:v>
                </c:pt>
                <c:pt idx="3">
                  <c:v>65</c:v>
                </c:pt>
                <c:pt idx="4">
                  <c:v>40</c:v>
                </c:pt>
                <c:pt idx="5">
                  <c:v>15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8A-47CD-B4C1-31BB3E1EDE42}"/>
            </c:ext>
          </c:extLst>
        </c:ser>
        <c:ser>
          <c:idx val="3"/>
          <c:order val="3"/>
          <c:tx>
            <c:strRef>
              <c:f>STRATEGY5!$A$5</c:f>
              <c:strCache>
                <c:ptCount val="1"/>
                <c:pt idx="0">
                  <c:v>STRATEGY RESULT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STRATEGY5!$B$2:$N$2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STRATEGY5!$B$5:$N$5</c:f>
              <c:numCache>
                <c:formatCode>#,##0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8A-47CD-B4C1-31BB3E1ED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71200"/>
        <c:axId val="174773760"/>
      </c:lineChart>
      <c:catAx>
        <c:axId val="17477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NET ASSET VALUE</a:t>
                </a:r>
              </a:p>
            </c:rich>
          </c:tx>
          <c:layout>
            <c:manualLayout>
              <c:xMode val="edge"/>
              <c:yMode val="edge"/>
              <c:x val="0.25365866461814235"/>
              <c:y val="0.874692874692879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77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773760"/>
        <c:scaling>
          <c:orientation val="minMax"/>
          <c:max val="150"/>
          <c:min val="-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7712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804916458613751"/>
          <c:y val="0.31449631449631449"/>
          <c:w val="0.31219524998399595"/>
          <c:h val="0.503685503685506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horizontalDpi="0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OWN</a:t>
            </a:r>
            <a:r>
              <a:rPr lang="en-US" baseline="0"/>
              <a:t> PROPERTY WITH RENOVATION OPTION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RENOVATION!$A$2</c:f>
              <c:strCache>
                <c:ptCount val="1"/>
                <c:pt idx="0">
                  <c:v>NET ASSET VALUE</c:v>
                </c:pt>
              </c:strCache>
            </c:strRef>
          </c:tx>
          <c:cat>
            <c:numRef>
              <c:f>RENOVATION!$B$2:$N$2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RENOVATION!$B$2:$N$2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9-4457-AB2B-3E337BE79066}"/>
            </c:ext>
          </c:extLst>
        </c:ser>
        <c:ser>
          <c:idx val="1"/>
          <c:order val="1"/>
          <c:tx>
            <c:strRef>
              <c:f>RENOVATION!$A$3</c:f>
              <c:strCache>
                <c:ptCount val="1"/>
                <c:pt idx="0">
                  <c:v>HOLD REAL CALL INTRINSIC</c:v>
                </c:pt>
              </c:strCache>
            </c:strRef>
          </c:tx>
          <c:cat>
            <c:numRef>
              <c:f>RENOVATION!$B$2:$N$2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RENOVATION!$B$3:$N$3</c:f>
              <c:numCache>
                <c:formatCode>General</c:formatCode>
                <c:ptCount val="13"/>
                <c:pt idx="0">
                  <c:v>-15</c:v>
                </c:pt>
                <c:pt idx="1">
                  <c:v>-15</c:v>
                </c:pt>
                <c:pt idx="2">
                  <c:v>-15</c:v>
                </c:pt>
                <c:pt idx="3">
                  <c:v>-15</c:v>
                </c:pt>
                <c:pt idx="4">
                  <c:v>-15</c:v>
                </c:pt>
                <c:pt idx="5">
                  <c:v>-15</c:v>
                </c:pt>
                <c:pt idx="6">
                  <c:v>-15</c:v>
                </c:pt>
                <c:pt idx="7">
                  <c:v>10</c:v>
                </c:pt>
                <c:pt idx="8">
                  <c:v>35</c:v>
                </c:pt>
                <c:pt idx="9">
                  <c:v>60</c:v>
                </c:pt>
                <c:pt idx="10">
                  <c:v>85</c:v>
                </c:pt>
                <c:pt idx="11">
                  <c:v>110</c:v>
                </c:pt>
                <c:pt idx="12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9-4457-AB2B-3E337BE79066}"/>
            </c:ext>
          </c:extLst>
        </c:ser>
        <c:ser>
          <c:idx val="2"/>
          <c:order val="2"/>
          <c:tx>
            <c:strRef>
              <c:f>RENOVATION!$A$4</c:f>
              <c:strCache>
                <c:ptCount val="1"/>
                <c:pt idx="0">
                  <c:v>STRATEGY RESULT</c:v>
                </c:pt>
              </c:strCache>
            </c:strRef>
          </c:tx>
          <c:cat>
            <c:numRef>
              <c:f>RENOVATION!$B$2:$N$2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RENOVATION!$B$4:$N$4</c:f>
              <c:numCache>
                <c:formatCode>General</c:formatCode>
                <c:ptCount val="13"/>
                <c:pt idx="0">
                  <c:v>-165</c:v>
                </c:pt>
                <c:pt idx="1">
                  <c:v>-140</c:v>
                </c:pt>
                <c:pt idx="2">
                  <c:v>-115</c:v>
                </c:pt>
                <c:pt idx="3">
                  <c:v>-90</c:v>
                </c:pt>
                <c:pt idx="4">
                  <c:v>-65</c:v>
                </c:pt>
                <c:pt idx="5">
                  <c:v>-40</c:v>
                </c:pt>
                <c:pt idx="6">
                  <c:v>-15</c:v>
                </c:pt>
                <c:pt idx="7">
                  <c:v>35</c:v>
                </c:pt>
                <c:pt idx="8">
                  <c:v>85</c:v>
                </c:pt>
                <c:pt idx="9">
                  <c:v>135</c:v>
                </c:pt>
                <c:pt idx="10">
                  <c:v>185</c:v>
                </c:pt>
                <c:pt idx="11">
                  <c:v>235</c:v>
                </c:pt>
                <c:pt idx="12">
                  <c:v>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59-4457-AB2B-3E337BE7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847872"/>
        <c:axId val="174866432"/>
      </c:lineChart>
      <c:catAx>
        <c:axId val="17484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</a:t>
                </a:r>
                <a:r>
                  <a:rPr lang="en-US" baseline="0"/>
                  <a:t> ASSET VALUE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4866432"/>
        <c:crosses val="autoZero"/>
        <c:auto val="1"/>
        <c:lblAlgn val="ctr"/>
        <c:lblOffset val="100"/>
        <c:noMultiLvlLbl val="0"/>
      </c:catAx>
      <c:valAx>
        <c:axId val="174866432"/>
        <c:scaling>
          <c:orientation val="minMax"/>
          <c:max val="300"/>
          <c:min val="-17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8478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OWN</a:t>
            </a:r>
            <a:r>
              <a:rPr lang="en-US" baseline="0"/>
              <a:t> PROPERTY WITH RENOVATION REQUIREMENT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RENOVATION_REQD!$A$2</c:f>
              <c:strCache>
                <c:ptCount val="1"/>
                <c:pt idx="0">
                  <c:v>OWN LEVERAGED PROPERTY</c:v>
                </c:pt>
              </c:strCache>
            </c:strRef>
          </c:tx>
          <c:cat>
            <c:numRef>
              <c:f>RENOVATION_REQD!$B$2:$N$2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RENOVATION_REQD!$B$2:$N$2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C7-41D0-96AE-94F10495F4B1}"/>
            </c:ext>
          </c:extLst>
        </c:ser>
        <c:ser>
          <c:idx val="1"/>
          <c:order val="1"/>
          <c:tx>
            <c:strRef>
              <c:f>RENOVATION_REQD!$A$3</c:f>
              <c:strCache>
                <c:ptCount val="1"/>
                <c:pt idx="0">
                  <c:v>RENOVATION REQUIREMENT</c:v>
                </c:pt>
              </c:strCache>
            </c:strRef>
          </c:tx>
          <c:cat>
            <c:numRef>
              <c:f>RENOVATION_REQD!$B$2:$N$2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RENOVATION_REQD!$B$3:$N$3</c:f>
              <c:numCache>
                <c:formatCode>General</c:formatCode>
                <c:ptCount val="13"/>
                <c:pt idx="0">
                  <c:v>-135</c:v>
                </c:pt>
                <c:pt idx="1">
                  <c:v>-110</c:v>
                </c:pt>
                <c:pt idx="2">
                  <c:v>-85</c:v>
                </c:pt>
                <c:pt idx="3">
                  <c:v>-60</c:v>
                </c:pt>
                <c:pt idx="4">
                  <c:v>-35</c:v>
                </c:pt>
                <c:pt idx="5">
                  <c:v>-10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C7-41D0-96AE-94F10495F4B1}"/>
            </c:ext>
          </c:extLst>
        </c:ser>
        <c:ser>
          <c:idx val="2"/>
          <c:order val="2"/>
          <c:tx>
            <c:strRef>
              <c:f>RENOVATION_REQD!$A$4</c:f>
              <c:strCache>
                <c:ptCount val="1"/>
                <c:pt idx="0">
                  <c:v>STRATEGY RESULT</c:v>
                </c:pt>
              </c:strCache>
            </c:strRef>
          </c:tx>
          <c:cat>
            <c:numRef>
              <c:f>RENOVATION_REQD!$B$2:$N$2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RENOVATION_REQD!$B$4:$N$4</c:f>
              <c:numCache>
                <c:formatCode>General</c:formatCode>
                <c:ptCount val="13"/>
                <c:pt idx="0">
                  <c:v>-285</c:v>
                </c:pt>
                <c:pt idx="1">
                  <c:v>-235</c:v>
                </c:pt>
                <c:pt idx="2">
                  <c:v>-185</c:v>
                </c:pt>
                <c:pt idx="3">
                  <c:v>-135</c:v>
                </c:pt>
                <c:pt idx="4">
                  <c:v>-85</c:v>
                </c:pt>
                <c:pt idx="5">
                  <c:v>-35</c:v>
                </c:pt>
                <c:pt idx="6">
                  <c:v>15</c:v>
                </c:pt>
                <c:pt idx="7">
                  <c:v>40</c:v>
                </c:pt>
                <c:pt idx="8">
                  <c:v>65</c:v>
                </c:pt>
                <c:pt idx="9">
                  <c:v>90</c:v>
                </c:pt>
                <c:pt idx="10">
                  <c:v>115</c:v>
                </c:pt>
                <c:pt idx="11">
                  <c:v>140</c:v>
                </c:pt>
                <c:pt idx="12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C7-41D0-96AE-94F10495F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888832"/>
        <c:axId val="174907392"/>
      </c:lineChart>
      <c:catAx>
        <c:axId val="17488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</a:t>
                </a:r>
                <a:r>
                  <a:rPr lang="en-US" baseline="0"/>
                  <a:t> ASSET VALUE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4907392"/>
        <c:crosses val="autoZero"/>
        <c:auto val="1"/>
        <c:lblAlgn val="ctr"/>
        <c:lblOffset val="100"/>
        <c:noMultiLvlLbl val="0"/>
      </c:catAx>
      <c:valAx>
        <c:axId val="174907392"/>
        <c:scaling>
          <c:orientation val="minMax"/>
          <c:max val="175"/>
          <c:min val="-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8888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MANCITY &amp; COUNCIL SHARING ARRANGEMENT</a:t>
            </a:r>
          </a:p>
        </c:rich>
      </c:tx>
      <c:layout>
        <c:manualLayout>
          <c:xMode val="edge"/>
          <c:yMode val="edge"/>
          <c:x val="0.23316062176165767"/>
          <c:y val="3.35917312661498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20930285373984006"/>
          <c:w val="0.72849740932642482"/>
          <c:h val="0.64341247631136023"/>
        </c:manualLayout>
      </c:layout>
      <c:lineChart>
        <c:grouping val="standard"/>
        <c:varyColors val="0"/>
        <c:ser>
          <c:idx val="0"/>
          <c:order val="0"/>
          <c:tx>
            <c:strRef>
              <c:f>[4]CITY_SHARING!$A$11</c:f>
              <c:strCache>
                <c:ptCount val="1"/>
                <c:pt idx="0">
                  <c:v>MAN CITY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[4]CITY_SHARING!$B$9:$Z$9</c:f>
              <c:numCache>
                <c:formatCode>General</c:formatCode>
                <c:ptCount val="25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</c:numCache>
            </c:numRef>
          </c:cat>
          <c:val>
            <c:numRef>
              <c:f>[4]CITY_SHARING!$B$11:$Z$11</c:f>
              <c:numCache>
                <c:formatCode>General</c:formatCode>
                <c:ptCount val="25"/>
                <c:pt idx="0">
                  <c:v>-68000</c:v>
                </c:pt>
                <c:pt idx="1">
                  <c:v>-28000</c:v>
                </c:pt>
                <c:pt idx="2">
                  <c:v>12000</c:v>
                </c:pt>
                <c:pt idx="3">
                  <c:v>52000</c:v>
                </c:pt>
                <c:pt idx="4">
                  <c:v>92000</c:v>
                </c:pt>
                <c:pt idx="5">
                  <c:v>132000</c:v>
                </c:pt>
                <c:pt idx="6">
                  <c:v>172000</c:v>
                </c:pt>
                <c:pt idx="7">
                  <c:v>212000</c:v>
                </c:pt>
                <c:pt idx="8">
                  <c:v>252000</c:v>
                </c:pt>
                <c:pt idx="9">
                  <c:v>292000</c:v>
                </c:pt>
                <c:pt idx="10">
                  <c:v>332000</c:v>
                </c:pt>
                <c:pt idx="11">
                  <c:v>372000</c:v>
                </c:pt>
                <c:pt idx="12">
                  <c:v>412000</c:v>
                </c:pt>
                <c:pt idx="13">
                  <c:v>452000</c:v>
                </c:pt>
                <c:pt idx="14">
                  <c:v>492000</c:v>
                </c:pt>
                <c:pt idx="15">
                  <c:v>532000</c:v>
                </c:pt>
                <c:pt idx="16">
                  <c:v>572000</c:v>
                </c:pt>
                <c:pt idx="17">
                  <c:v>612000</c:v>
                </c:pt>
                <c:pt idx="18">
                  <c:v>652000</c:v>
                </c:pt>
                <c:pt idx="19">
                  <c:v>692000</c:v>
                </c:pt>
                <c:pt idx="20">
                  <c:v>732000</c:v>
                </c:pt>
                <c:pt idx="21">
                  <c:v>772000</c:v>
                </c:pt>
                <c:pt idx="22">
                  <c:v>812000</c:v>
                </c:pt>
                <c:pt idx="23">
                  <c:v>852000</c:v>
                </c:pt>
                <c:pt idx="24">
                  <c:v>892000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8-4CF5-B05D-BFEF4529279C}"/>
            </c:ext>
          </c:extLst>
        </c:ser>
        <c:ser>
          <c:idx val="1"/>
          <c:order val="1"/>
          <c:tx>
            <c:strRef>
              <c:f>[4]CITY_SHARING!$A$12</c:f>
              <c:strCache>
                <c:ptCount val="1"/>
                <c:pt idx="0">
                  <c:v>COUNCIL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[4]CITY_SHARING!$B$9:$Z$9</c:f>
              <c:numCache>
                <c:formatCode>General</c:formatCode>
                <c:ptCount val="25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</c:numCache>
            </c:numRef>
          </c:cat>
          <c:val>
            <c:numRef>
              <c:f>[4]CITY_SHARING!$B$12:$Z$12</c:f>
              <c:numCache>
                <c:formatCode>General</c:formatCode>
                <c:ptCount val="25"/>
                <c:pt idx="0">
                  <c:v>68000</c:v>
                </c:pt>
                <c:pt idx="1">
                  <c:v>68000</c:v>
                </c:pt>
                <c:pt idx="2">
                  <c:v>68000</c:v>
                </c:pt>
                <c:pt idx="3">
                  <c:v>68000</c:v>
                </c:pt>
                <c:pt idx="4">
                  <c:v>68000</c:v>
                </c:pt>
                <c:pt idx="5">
                  <c:v>68000</c:v>
                </c:pt>
                <c:pt idx="6">
                  <c:v>68000</c:v>
                </c:pt>
                <c:pt idx="7">
                  <c:v>68000</c:v>
                </c:pt>
                <c:pt idx="8">
                  <c:v>68000</c:v>
                </c:pt>
                <c:pt idx="9">
                  <c:v>68000</c:v>
                </c:pt>
                <c:pt idx="10">
                  <c:v>68000</c:v>
                </c:pt>
                <c:pt idx="11">
                  <c:v>68000</c:v>
                </c:pt>
                <c:pt idx="12">
                  <c:v>68000</c:v>
                </c:pt>
                <c:pt idx="13">
                  <c:v>68000</c:v>
                </c:pt>
                <c:pt idx="14">
                  <c:v>68000</c:v>
                </c:pt>
                <c:pt idx="15">
                  <c:v>68000</c:v>
                </c:pt>
                <c:pt idx="16">
                  <c:v>68000</c:v>
                </c:pt>
                <c:pt idx="17">
                  <c:v>68000</c:v>
                </c:pt>
                <c:pt idx="18">
                  <c:v>68000</c:v>
                </c:pt>
                <c:pt idx="19">
                  <c:v>68000</c:v>
                </c:pt>
                <c:pt idx="20">
                  <c:v>68000</c:v>
                </c:pt>
                <c:pt idx="21">
                  <c:v>68000</c:v>
                </c:pt>
                <c:pt idx="22">
                  <c:v>68000</c:v>
                </c:pt>
                <c:pt idx="23">
                  <c:v>68000</c:v>
                </c:pt>
                <c:pt idx="24">
                  <c:v>68000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8-4CF5-B05D-BFEF4529279C}"/>
            </c:ext>
          </c:extLst>
        </c:ser>
        <c:ser>
          <c:idx val="2"/>
          <c:order val="2"/>
          <c:tx>
            <c:strRef>
              <c:f>[4]CITY_SHARING!$A$13</c:f>
              <c:strCache>
                <c:ptCount val="1"/>
                <c:pt idx="0">
                  <c:v>MAN CITY(-)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[4]CITY_SHARING!$B$9:$Z$9</c:f>
              <c:numCache>
                <c:formatCode>General</c:formatCode>
                <c:ptCount val="25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</c:numCache>
            </c:numRef>
          </c:cat>
          <c:val>
            <c:numRef>
              <c:f>[4]CITY_SHARING!$B$13:$Z$13</c:f>
              <c:numCache>
                <c:formatCode>General</c:formatCode>
                <c:ptCount val="25"/>
                <c:pt idx="0">
                  <c:v>0</c:v>
                </c:pt>
                <c:pt idx="1">
                  <c:v>40000</c:v>
                </c:pt>
                <c:pt idx="2">
                  <c:v>80000</c:v>
                </c:pt>
                <c:pt idx="3">
                  <c:v>120000</c:v>
                </c:pt>
                <c:pt idx="4">
                  <c:v>160000</c:v>
                </c:pt>
                <c:pt idx="5">
                  <c:v>200000</c:v>
                </c:pt>
                <c:pt idx="6">
                  <c:v>240000</c:v>
                </c:pt>
                <c:pt idx="7">
                  <c:v>280000</c:v>
                </c:pt>
                <c:pt idx="8">
                  <c:v>320000</c:v>
                </c:pt>
                <c:pt idx="9">
                  <c:v>360000</c:v>
                </c:pt>
                <c:pt idx="10">
                  <c:v>400000</c:v>
                </c:pt>
                <c:pt idx="11">
                  <c:v>440000</c:v>
                </c:pt>
                <c:pt idx="12">
                  <c:v>480000</c:v>
                </c:pt>
                <c:pt idx="13">
                  <c:v>520000</c:v>
                </c:pt>
                <c:pt idx="14">
                  <c:v>560000</c:v>
                </c:pt>
                <c:pt idx="15">
                  <c:v>600000</c:v>
                </c:pt>
                <c:pt idx="16">
                  <c:v>640000</c:v>
                </c:pt>
                <c:pt idx="17">
                  <c:v>408000</c:v>
                </c:pt>
                <c:pt idx="18">
                  <c:v>432000</c:v>
                </c:pt>
                <c:pt idx="19">
                  <c:v>456000</c:v>
                </c:pt>
                <c:pt idx="20">
                  <c:v>480000</c:v>
                </c:pt>
                <c:pt idx="21">
                  <c:v>504000</c:v>
                </c:pt>
                <c:pt idx="22">
                  <c:v>528000</c:v>
                </c:pt>
                <c:pt idx="23">
                  <c:v>552000</c:v>
                </c:pt>
                <c:pt idx="24">
                  <c:v>576000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8-4CF5-B05D-BFEF4529279C}"/>
            </c:ext>
          </c:extLst>
        </c:ser>
        <c:ser>
          <c:idx val="3"/>
          <c:order val="3"/>
          <c:tx>
            <c:strRef>
              <c:f>[4]CITY_SHARING!$A$14</c:f>
              <c:strCache>
                <c:ptCount val="1"/>
                <c:pt idx="0">
                  <c:v>COUNCIL(+)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[4]CITY_SHARING!$B$9:$Z$9</c:f>
              <c:numCache>
                <c:formatCode>General</c:formatCode>
                <c:ptCount val="25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</c:numCache>
            </c:numRef>
          </c:cat>
          <c:val>
            <c:numRef>
              <c:f>[4]CITY_SHARING!$B$14:$Z$14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272000</c:v>
                </c:pt>
                <c:pt idx="18">
                  <c:v>288000</c:v>
                </c:pt>
                <c:pt idx="19">
                  <c:v>304000</c:v>
                </c:pt>
                <c:pt idx="20">
                  <c:v>320000</c:v>
                </c:pt>
                <c:pt idx="21">
                  <c:v>336000</c:v>
                </c:pt>
                <c:pt idx="22">
                  <c:v>352000</c:v>
                </c:pt>
                <c:pt idx="23">
                  <c:v>368000</c:v>
                </c:pt>
                <c:pt idx="24">
                  <c:v>384000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28-4CF5-B05D-BFEF45292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25152"/>
        <c:axId val="175031808"/>
      </c:lineChart>
      <c:catAx>
        <c:axId val="17502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ATTENDANCE</a:t>
                </a:r>
              </a:p>
            </c:rich>
          </c:tx>
          <c:layout>
            <c:manualLayout>
              <c:xMode val="edge"/>
              <c:yMode val="edge"/>
              <c:x val="0.4"/>
              <c:y val="0.8863070798320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03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031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0251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81347150259312"/>
          <c:y val="0.40568583965763982"/>
          <c:w val="0.13989637305699562"/>
          <c:h val="0.25064653739988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horizontalDpi="0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Samuelson-McKean Real American 
Perpetual Call Option</a:t>
            </a:r>
          </a:p>
        </c:rich>
      </c:tx>
      <c:layout>
        <c:manualLayout>
          <c:xMode val="edge"/>
          <c:yMode val="edge"/>
          <c:x val="0.23878437047756937"/>
          <c:y val="3.22580645161291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00488352258109E-2"/>
          <c:y val="0.29301152189264862"/>
          <c:w val="0.54848085066992092"/>
          <c:h val="0.50537767078731399"/>
        </c:manualLayout>
      </c:layout>
      <c:lineChart>
        <c:grouping val="standard"/>
        <c:varyColors val="0"/>
        <c:ser>
          <c:idx val="0"/>
          <c:order val="0"/>
          <c:tx>
            <c:strRef>
              <c:f>[3]SAMUELSON2!$A$14</c:f>
              <c:strCache>
                <c:ptCount val="1"/>
                <c:pt idx="0">
                  <c:v>DEVELOPMENT OPTION VALUE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[3]SAMUELSON2!$B$9:$J$9</c:f>
              <c:numCache>
                <c:formatCode>General</c:formatCode>
                <c:ptCount val="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</c:numCache>
            </c:numRef>
          </c:cat>
          <c:val>
            <c:numRef>
              <c:f>[3]SAMUELSON2!$B$14:$J$14</c:f>
              <c:numCache>
                <c:formatCode>General</c:formatCode>
                <c:ptCount val="9"/>
                <c:pt idx="0">
                  <c:v>0</c:v>
                </c:pt>
                <c:pt idx="1">
                  <c:v>1.5625E-2</c:v>
                </c:pt>
                <c:pt idx="2">
                  <c:v>6.25E-2</c:v>
                </c:pt>
                <c:pt idx="3">
                  <c:v>0.140625</c:v>
                </c:pt>
                <c:pt idx="4">
                  <c:v>0.25</c:v>
                </c:pt>
                <c:pt idx="5">
                  <c:v>0.390625</c:v>
                </c:pt>
                <c:pt idx="6">
                  <c:v>0.5625</c:v>
                </c:pt>
                <c:pt idx="7">
                  <c:v>0.765625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4F-401F-8034-FCF092A4E693}"/>
            </c:ext>
          </c:extLst>
        </c:ser>
        <c:ser>
          <c:idx val="1"/>
          <c:order val="1"/>
          <c:tx>
            <c:strRef>
              <c:f>[3]SAMUELSON2!$A$15</c:f>
              <c:strCache>
                <c:ptCount val="1"/>
                <c:pt idx="0">
                  <c:v>INTRINSIC OPTION VALUE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[3]SAMUELSON2!$B$9:$J$9</c:f>
              <c:numCache>
                <c:formatCode>General</c:formatCode>
                <c:ptCount val="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</c:numCache>
            </c:numRef>
          </c:cat>
          <c:val>
            <c:numRef>
              <c:f>[3]SAMUELSON2!$B$15:$J$15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4F-401F-8034-FCF092A4E693}"/>
            </c:ext>
          </c:extLst>
        </c:ser>
        <c:ser>
          <c:idx val="2"/>
          <c:order val="2"/>
          <c:tx>
            <c:strRef>
              <c:f>[3]SAMUELSON2!$A$16</c:f>
              <c:strCache>
                <c:ptCount val="1"/>
                <c:pt idx="0">
                  <c:v>DELTA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[3]SAMUELSON2!$B$9:$J$9</c:f>
              <c:numCache>
                <c:formatCode>General</c:formatCode>
                <c:ptCount val="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</c:numCache>
            </c:numRef>
          </c:cat>
          <c:val>
            <c:numRef>
              <c:f>[3]SAMUELSON2!$B$16:$J$16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4F-401F-8034-FCF092A4E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40352"/>
        <c:axId val="170759296"/>
      </c:lineChart>
      <c:catAx>
        <c:axId val="17074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</a:t>
                </a:r>
              </a:p>
            </c:rich>
          </c:tx>
          <c:layout>
            <c:manualLayout>
              <c:xMode val="edge"/>
              <c:yMode val="edge"/>
              <c:x val="0.33863995654667622"/>
              <c:y val="0.881722687889820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75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75929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740352"/>
        <c:crosses val="autoZero"/>
        <c:crossBetween val="midCat"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6080312681833"/>
          <c:y val="0.37096858860384646"/>
          <c:w val="0.32706253252352135"/>
          <c:h val="0.34946321225975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
 REAL OPTION VALUE, DELTA &amp; V* 
AS FUNCTION OF VOLATILITY</a:t>
            </a:r>
          </a:p>
        </c:rich>
      </c:tx>
      <c:layout>
        <c:manualLayout>
          <c:xMode val="edge"/>
          <c:yMode val="edge"/>
          <c:x val="0.22147651006711411"/>
          <c:y val="3.05676855895197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79248295438536E-2"/>
          <c:y val="0.33624454148471727"/>
          <c:w val="0.63355746222044262"/>
          <c:h val="0.48471615720524186"/>
        </c:manualLayout>
      </c:layout>
      <c:lineChart>
        <c:grouping val="standard"/>
        <c:varyColors val="0"/>
        <c:ser>
          <c:idx val="0"/>
          <c:order val="0"/>
          <c:tx>
            <c:strRef>
              <c:f>[3]VOLATILITY!$A$13</c:f>
              <c:strCache>
                <c:ptCount val="1"/>
                <c:pt idx="0">
                  <c:v>V*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[3]VOLATILITY!$B$7:$J$7</c:f>
              <c:numCache>
                <c:formatCode>General</c:formatCode>
                <c:ptCount val="9"/>
                <c:pt idx="0">
                  <c:v>0.05</c:v>
                </c:pt>
                <c:pt idx="1">
                  <c:v>7.5000000000000011E-2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0.17499999999999999</c:v>
                </c:pt>
                <c:pt idx="6">
                  <c:v>0.19999999999999998</c:v>
                </c:pt>
                <c:pt idx="7">
                  <c:v>0.22499999999999998</c:v>
                </c:pt>
                <c:pt idx="8">
                  <c:v>0.24999999999999997</c:v>
                </c:pt>
              </c:numCache>
            </c:numRef>
          </c:cat>
          <c:val>
            <c:numRef>
              <c:f>[3]VOLATILITY!$B$13:$J$13</c:f>
              <c:numCache>
                <c:formatCode>General</c:formatCode>
                <c:ptCount val="9"/>
                <c:pt idx="0">
                  <c:v>1.1930908858062585</c:v>
                </c:pt>
                <c:pt idx="1">
                  <c:v>1.3026416924339062</c:v>
                </c:pt>
                <c:pt idx="2">
                  <c:v>1.4215351654086268</c:v>
                </c:pt>
                <c:pt idx="3">
                  <c:v>1.5502589932131432</c:v>
                </c:pt>
                <c:pt idx="4">
                  <c:v>1.6892828083149825</c:v>
                </c:pt>
                <c:pt idx="5">
                  <c:v>1.8390549607522584</c:v>
                </c:pt>
                <c:pt idx="6">
                  <c:v>2</c:v>
                </c:pt>
                <c:pt idx="7">
                  <c:v>2.1725168824763537</c:v>
                </c:pt>
                <c:pt idx="8">
                  <c:v>2.3569778810041391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C6-48B6-B712-1AF2F722FB12}"/>
            </c:ext>
          </c:extLst>
        </c:ser>
        <c:ser>
          <c:idx val="1"/>
          <c:order val="1"/>
          <c:tx>
            <c:strRef>
              <c:f>[3]VOLATILITY!$A$14</c:f>
              <c:strCache>
                <c:ptCount val="1"/>
                <c:pt idx="0">
                  <c:v>REAL OPTION VALUE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[3]VOLATILITY!$B$7:$J$7</c:f>
              <c:numCache>
                <c:formatCode>General</c:formatCode>
                <c:ptCount val="9"/>
                <c:pt idx="0">
                  <c:v>0.05</c:v>
                </c:pt>
                <c:pt idx="1">
                  <c:v>7.5000000000000011E-2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0.17499999999999999</c:v>
                </c:pt>
                <c:pt idx="6">
                  <c:v>0.19999999999999998</c:v>
                </c:pt>
                <c:pt idx="7">
                  <c:v>0.22499999999999998</c:v>
                </c:pt>
                <c:pt idx="8">
                  <c:v>0.24999999999999997</c:v>
                </c:pt>
              </c:numCache>
            </c:numRef>
          </c:cat>
          <c:val>
            <c:numRef>
              <c:f>[3]VOLATILITY!$B$14:$J$14</c:f>
              <c:numCache>
                <c:formatCode>General</c:formatCode>
                <c:ptCount val="9"/>
                <c:pt idx="0">
                  <c:v>6.4863902219186337E-2</c:v>
                </c:pt>
                <c:pt idx="1">
                  <c:v>0.14154928811419976</c:v>
                </c:pt>
                <c:pt idx="2">
                  <c:v>0.23241764886759797</c:v>
                </c:pt>
                <c:pt idx="3">
                  <c:v>0.3346207140168172</c:v>
                </c:pt>
                <c:pt idx="4">
                  <c:v>0.44718501607925448</c:v>
                </c:pt>
                <c:pt idx="5">
                  <c:v>0.56981786875594709</c:v>
                </c:pt>
                <c:pt idx="6">
                  <c:v>0.70251070070603727</c:v>
                </c:pt>
                <c:pt idx="7">
                  <c:v>0.84538262417060916</c:v>
                </c:pt>
                <c:pt idx="8">
                  <c:v>0.99861040785518929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6-48B6-B712-1AF2F722FB12}"/>
            </c:ext>
          </c:extLst>
        </c:ser>
        <c:ser>
          <c:idx val="2"/>
          <c:order val="2"/>
          <c:tx>
            <c:strRef>
              <c:f>[3]VOLATILITY!$A$15</c:f>
              <c:strCache>
                <c:ptCount val="1"/>
                <c:pt idx="0">
                  <c:v>DELTA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[3]VOLATILITY!$B$7:$J$7</c:f>
              <c:numCache>
                <c:formatCode>General</c:formatCode>
                <c:ptCount val="9"/>
                <c:pt idx="0">
                  <c:v>0.05</c:v>
                </c:pt>
                <c:pt idx="1">
                  <c:v>7.5000000000000011E-2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0.17499999999999999</c:v>
                </c:pt>
                <c:pt idx="6">
                  <c:v>0.19999999999999998</c:v>
                </c:pt>
                <c:pt idx="7">
                  <c:v>0.22499999999999998</c:v>
                </c:pt>
                <c:pt idx="8">
                  <c:v>0.24999999999999997</c:v>
                </c:pt>
              </c:numCache>
            </c:numRef>
          </c:cat>
          <c:val>
            <c:numRef>
              <c:f>[3]VOLATILITY!$B$15:$J$15</c:f>
              <c:numCache>
                <c:formatCode>General</c:formatCode>
                <c:ptCount val="9"/>
                <c:pt idx="0">
                  <c:v>0.40078810676330334</c:v>
                </c:pt>
                <c:pt idx="1">
                  <c:v>0.41743708174535205</c:v>
                </c:pt>
                <c:pt idx="2">
                  <c:v>0.43412618378359819</c:v>
                </c:pt>
                <c:pt idx="3">
                  <c:v>0.45078907291174003</c:v>
                </c:pt>
                <c:pt idx="4">
                  <c:v>0.46736179883489865</c:v>
                </c:pt>
                <c:pt idx="5">
                  <c:v>0.48378401855956116</c:v>
                </c:pt>
                <c:pt idx="6">
                  <c:v>0.5</c:v>
                </c:pt>
                <c:pt idx="7">
                  <c:v>0.51595938373168659</c:v>
                </c:pt>
                <c:pt idx="8">
                  <c:v>0.53161769472914411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C6-48B6-B712-1AF2F722F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13696"/>
        <c:axId val="170820352"/>
      </c:lineChart>
      <c:catAx>
        <c:axId val="17081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VOLATILITY</a:t>
                </a:r>
              </a:p>
            </c:rich>
          </c:tx>
          <c:layout>
            <c:manualLayout>
              <c:xMode val="edge"/>
              <c:yMode val="edge"/>
              <c:x val="0.31812094629110982"/>
              <c:y val="0.888646288209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82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82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8136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43629797953082"/>
          <c:y val="0.5087336244541486"/>
          <c:w val="0.23489946978104312"/>
          <c:h val="0.13973799126637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OPTION VALUE, DELTA &amp; GAMMA
 as Function of Interest Rates</a:t>
            </a:r>
          </a:p>
        </c:rich>
      </c:tx>
      <c:layout>
        <c:manualLayout>
          <c:xMode val="edge"/>
          <c:yMode val="edge"/>
          <c:x val="0.25987841945288925"/>
          <c:y val="3.1319910514541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389108500181442E-2"/>
          <c:y val="0.21029128716462112"/>
          <c:w val="0.7568394674020108"/>
          <c:h val="0.6442967096107507"/>
        </c:manualLayout>
      </c:layout>
      <c:lineChart>
        <c:grouping val="standard"/>
        <c:varyColors val="0"/>
        <c:ser>
          <c:idx val="0"/>
          <c:order val="0"/>
          <c:tx>
            <c:strRef>
              <c:f>'[3]DELTA, GAMMA'!$A$24</c:f>
              <c:strCache>
                <c:ptCount val="1"/>
                <c:pt idx="0">
                  <c:v>ROV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'[3]DELTA, GAMMA'!$B$8:$J$8</c:f>
              <c:numCache>
                <c:formatCode>General</c:formatCode>
                <c:ptCount val="9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0.04</c:v>
                </c:pt>
                <c:pt idx="5">
                  <c:v>4.4999999999999998E-2</c:v>
                </c:pt>
                <c:pt idx="6">
                  <c:v>4.9999999999999996E-2</c:v>
                </c:pt>
                <c:pt idx="7">
                  <c:v>5.4999999999999993E-2</c:v>
                </c:pt>
                <c:pt idx="8">
                  <c:v>5.9999999999999991E-2</c:v>
                </c:pt>
              </c:numCache>
            </c:numRef>
          </c:cat>
          <c:val>
            <c:numRef>
              <c:f>'[3]DELTA, GAMMA'!$B$24:$J$24</c:f>
              <c:numCache>
                <c:formatCode>General</c:formatCode>
                <c:ptCount val="9"/>
                <c:pt idx="0">
                  <c:v>0.19442768285708267</c:v>
                </c:pt>
                <c:pt idx="1">
                  <c:v>0.2077116735186976</c:v>
                </c:pt>
                <c:pt idx="2">
                  <c:v>0.22148883734991726</c:v>
                </c:pt>
                <c:pt idx="3">
                  <c:v>0.23562979124734945</c:v>
                </c:pt>
                <c:pt idx="4">
                  <c:v>0.25000000000000006</c:v>
                </c:pt>
                <c:pt idx="5">
                  <c:v>0.26446883388207576</c:v>
                </c:pt>
                <c:pt idx="6">
                  <c:v>0.27891679653772417</c:v>
                </c:pt>
                <c:pt idx="7">
                  <c:v>0.29324023055242654</c:v>
                </c:pt>
                <c:pt idx="8">
                  <c:v>0.30735350239315212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F9-45D0-85DD-7335C50FDEBE}"/>
            </c:ext>
          </c:extLst>
        </c:ser>
        <c:ser>
          <c:idx val="1"/>
          <c:order val="1"/>
          <c:tx>
            <c:strRef>
              <c:f>'[3]DELTA, GAMMA'!$A$25</c:f>
              <c:strCache>
                <c:ptCount val="1"/>
                <c:pt idx="0">
                  <c:v>ROV 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'[3]DELTA, GAMMA'!$B$8:$J$8</c:f>
              <c:numCache>
                <c:formatCode>General</c:formatCode>
                <c:ptCount val="9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0.04</c:v>
                </c:pt>
                <c:pt idx="5">
                  <c:v>4.4999999999999998E-2</c:v>
                </c:pt>
                <c:pt idx="6">
                  <c:v>4.9999999999999996E-2</c:v>
                </c:pt>
                <c:pt idx="7">
                  <c:v>5.4999999999999993E-2</c:v>
                </c:pt>
                <c:pt idx="8">
                  <c:v>5.9999999999999991E-2</c:v>
                </c:pt>
              </c:numCache>
            </c:numRef>
          </c:cat>
          <c:val>
            <c:numRef>
              <c:f>'[3]DELTA, GAMMA'!$B$25:$J$25</c:f>
              <c:numCache>
                <c:formatCode>General</c:formatCode>
                <c:ptCount val="9"/>
                <c:pt idx="0">
                  <c:v>0.46938994885434387</c:v>
                </c:pt>
                <c:pt idx="1">
                  <c:v>0.47664160339522865</c:v>
                </c:pt>
                <c:pt idx="2">
                  <c:v>0.48420575342880573</c:v>
                </c:pt>
                <c:pt idx="3">
                  <c:v>0.49201561910156022</c:v>
                </c:pt>
                <c:pt idx="4">
                  <c:v>0.5</c:v>
                </c:pt>
                <c:pt idx="5">
                  <c:v>0.5080881639981768</c:v>
                </c:pt>
                <c:pt idx="6">
                  <c:v>0.51621392416888801</c:v>
                </c:pt>
                <c:pt idx="7">
                  <c:v>0.52431846950067373</c:v>
                </c:pt>
                <c:pt idx="8">
                  <c:v>0.53235188202918193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F9-45D0-85DD-7335C50FDEBE}"/>
            </c:ext>
          </c:extLst>
        </c:ser>
        <c:ser>
          <c:idx val="2"/>
          <c:order val="2"/>
          <c:tx>
            <c:strRef>
              <c:f>'[3]DELTA, GAMMA'!$A$26</c:f>
              <c:strCache>
                <c:ptCount val="1"/>
                <c:pt idx="0">
                  <c:v>ROV G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'[3]DELTA, GAMMA'!$B$8:$J$8</c:f>
              <c:numCache>
                <c:formatCode>General</c:formatCode>
                <c:ptCount val="9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0.04</c:v>
                </c:pt>
                <c:pt idx="5">
                  <c:v>4.4999999999999998E-2</c:v>
                </c:pt>
                <c:pt idx="6">
                  <c:v>4.9999999999999996E-2</c:v>
                </c:pt>
                <c:pt idx="7">
                  <c:v>5.4999999999999993E-2</c:v>
                </c:pt>
                <c:pt idx="8">
                  <c:v>5.9999999999999991E-2</c:v>
                </c:pt>
              </c:numCache>
            </c:numRef>
          </c:cat>
          <c:val>
            <c:numRef>
              <c:f>'[3]DELTA, GAMMA'!$B$26:$J$26</c:f>
              <c:numCache>
                <c:formatCode>General</c:formatCode>
                <c:ptCount val="9"/>
                <c:pt idx="0">
                  <c:v>0.66381763171142649</c:v>
                </c:pt>
                <c:pt idx="1">
                  <c:v>0.61712079444479317</c:v>
                </c:pt>
                <c:pt idx="2">
                  <c:v>0.57433613273927842</c:v>
                </c:pt>
                <c:pt idx="3">
                  <c:v>0.53535603945825139</c:v>
                </c:pt>
                <c:pt idx="4">
                  <c:v>0.49999999999999989</c:v>
                </c:pt>
                <c:pt idx="5">
                  <c:v>0.46803283523512618</c:v>
                </c:pt>
                <c:pt idx="6">
                  <c:v>0.4391850292598663</c:v>
                </c:pt>
                <c:pt idx="7">
                  <c:v>0.41317178189366754</c:v>
                </c:pt>
                <c:pt idx="8">
                  <c:v>0.38970862515027427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F9-45D0-85DD-7335C50FD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84480"/>
        <c:axId val="170926464"/>
      </c:lineChart>
      <c:catAx>
        <c:axId val="17248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Interest Rate</a:t>
                </a:r>
              </a:p>
            </c:rich>
          </c:tx>
          <c:layout>
            <c:manualLayout>
              <c:xMode val="edge"/>
              <c:yMode val="edge"/>
              <c:x val="0.38297904251330284"/>
              <c:y val="0.914990928147404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92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92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4844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474227955548555"/>
          <c:y val="0.46085105133670368"/>
          <c:w val="0.12310046350589154"/>
          <c:h val="0.14317696865073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CALL OPTION</a:t>
            </a:r>
          </a:p>
        </c:rich>
      </c:tx>
      <c:layout>
        <c:manualLayout>
          <c:xMode val="edge"/>
          <c:yMode val="edge"/>
          <c:x val="0.33633633633633636"/>
          <c:y val="3.23450134770891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87214783946182E-2"/>
          <c:y val="0.21563342318059359"/>
          <c:w val="0.62012102940982694"/>
          <c:h val="0.57142857142857473"/>
        </c:manualLayout>
      </c:layout>
      <c:lineChart>
        <c:grouping val="standard"/>
        <c:varyColors val="0"/>
        <c:ser>
          <c:idx val="0"/>
          <c:order val="0"/>
          <c:tx>
            <c:strRef>
              <c:f>'CALL OPTION'!$A$8</c:f>
              <c:strCache>
                <c:ptCount val="1"/>
                <c:pt idx="0">
                  <c:v>CALL PRICE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'CALL OPTION'!$B$3:$N$3</c:f>
              <c:numCache>
                <c:formatCode>General</c:formatCode>
                <c:ptCount val="13"/>
                <c:pt idx="0" formatCode="0.00">
                  <c:v>1E-8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'CALL OPTION'!$B$8:$N$8</c:f>
              <c:numCache>
                <c:formatCode>0.00</c:formatCode>
                <c:ptCount val="13"/>
                <c:pt idx="0">
                  <c:v>1.3056288553139213E-235</c:v>
                </c:pt>
                <c:pt idx="1">
                  <c:v>0.43615012465267999</c:v>
                </c:pt>
                <c:pt idx="2">
                  <c:v>5.1406281319309439</c:v>
                </c:pt>
                <c:pt idx="3">
                  <c:v>15.886948530654259</c:v>
                </c:pt>
                <c:pt idx="4">
                  <c:v>31.327683827656472</c:v>
                </c:pt>
                <c:pt idx="5">
                  <c:v>49.929197434795533</c:v>
                </c:pt>
                <c:pt idx="6">
                  <c:v>70.593995577513724</c:v>
                </c:pt>
                <c:pt idx="7">
                  <c:v>92.608338501808802</c:v>
                </c:pt>
                <c:pt idx="8">
                  <c:v>115.51682267985942</c:v>
                </c:pt>
                <c:pt idx="9">
                  <c:v>139.02744992474533</c:v>
                </c:pt>
                <c:pt idx="10">
                  <c:v>162.95048298519612</c:v>
                </c:pt>
                <c:pt idx="11">
                  <c:v>187.16062969160694</c:v>
                </c:pt>
                <c:pt idx="12" formatCode="0.00_)">
                  <c:v>211.57376695984868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6-45EB-8522-C42F4352532D}"/>
            </c:ext>
          </c:extLst>
        </c:ser>
        <c:ser>
          <c:idx val="1"/>
          <c:order val="1"/>
          <c:tx>
            <c:strRef>
              <c:f>'CALL OPTION'!$A$9</c:f>
              <c:strCache>
                <c:ptCount val="1"/>
                <c:pt idx="0">
                  <c:v>CALL INTRINSIC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'CALL OPTION'!$B$3:$N$3</c:f>
              <c:numCache>
                <c:formatCode>General</c:formatCode>
                <c:ptCount val="13"/>
                <c:pt idx="0" formatCode="0.00">
                  <c:v>1E-8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'CALL OPTION'!$B$9:$N$9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50</c:v>
                </c:pt>
                <c:pt idx="7">
                  <c:v>75</c:v>
                </c:pt>
                <c:pt idx="8">
                  <c:v>100</c:v>
                </c:pt>
                <c:pt idx="9">
                  <c:v>125</c:v>
                </c:pt>
                <c:pt idx="10">
                  <c:v>150</c:v>
                </c:pt>
                <c:pt idx="11">
                  <c:v>175</c:v>
                </c:pt>
                <c:pt idx="12" formatCode="General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6-45EB-8522-C42F43525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24928"/>
        <c:axId val="173331584"/>
      </c:lineChart>
      <c:catAx>
        <c:axId val="17332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ASSET VALUE</a:t>
                </a:r>
              </a:p>
            </c:rich>
          </c:tx>
          <c:layout>
            <c:manualLayout>
              <c:xMode val="edge"/>
              <c:yMode val="edge"/>
              <c:x val="0.30780828072166855"/>
              <c:y val="0.881401617250676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33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331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3249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74584821042011"/>
          <c:y val="0.43665768194070254"/>
          <c:w val="0.24324355851914944"/>
          <c:h val="0.132075471698113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CALL PRICE as Function of Time to Expiration</a:t>
            </a:r>
          </a:p>
        </c:rich>
      </c:tx>
      <c:layout>
        <c:manualLayout>
          <c:xMode val="edge"/>
          <c:yMode val="edge"/>
          <c:x val="0.19335347432024169"/>
          <c:y val="3.4375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018126888217808E-2"/>
          <c:y val="0.21562500000000001"/>
          <c:w val="0.67069486404834311"/>
          <c:h val="0.53437500000000004"/>
        </c:manualLayout>
      </c:layout>
      <c:lineChart>
        <c:grouping val="standard"/>
        <c:varyColors val="0"/>
        <c:ser>
          <c:idx val="0"/>
          <c:order val="0"/>
          <c:tx>
            <c:strRef>
              <c:f>[3]CALLl_TIME!$A$6</c:f>
              <c:strCache>
                <c:ptCount val="1"/>
                <c:pt idx="0">
                  <c:v>CALL PRICE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[3]CALLl_TIME!$B$5:$N$5</c:f>
              <c:numCache>
                <c:formatCode>General</c:formatCode>
                <c:ptCount val="13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</c:numCache>
            </c:numRef>
          </c:cat>
          <c:val>
            <c:numRef>
              <c:f>[3]CALLl_TIME!$B$6:$N$6</c:f>
              <c:numCache>
                <c:formatCode>General</c:formatCode>
                <c:ptCount val="13"/>
                <c:pt idx="0">
                  <c:v>15.127174226438719</c:v>
                </c:pt>
                <c:pt idx="1">
                  <c:v>21.792599909495252</c:v>
                </c:pt>
                <c:pt idx="2">
                  <c:v>26.96572636624488</c:v>
                </c:pt>
                <c:pt idx="3">
                  <c:v>31.327681372697036</c:v>
                </c:pt>
                <c:pt idx="4">
                  <c:v>35.14796655308978</c:v>
                </c:pt>
                <c:pt idx="5">
                  <c:v>38.567827516156434</c:v>
                </c:pt>
                <c:pt idx="6">
                  <c:v>41.673063441514209</c:v>
                </c:pt>
                <c:pt idx="7">
                  <c:v>44.520869947624234</c:v>
                </c:pt>
                <c:pt idx="8">
                  <c:v>47.151910614506249</c:v>
                </c:pt>
                <c:pt idx="9">
                  <c:v>49.596497220189718</c:v>
                </c:pt>
                <c:pt idx="10">
                  <c:v>51.878060097850948</c:v>
                </c:pt>
                <c:pt idx="11">
                  <c:v>54.015237296537613</c:v>
                </c:pt>
                <c:pt idx="12">
                  <c:v>56.023202727966634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5-499D-B829-4BF805FB7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32608"/>
        <c:axId val="173734912"/>
      </c:lineChart>
      <c:catAx>
        <c:axId val="17373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(Years)</a:t>
                </a:r>
              </a:p>
            </c:rich>
          </c:tx>
          <c:layout>
            <c:manualLayout>
              <c:xMode val="edge"/>
              <c:yMode val="edge"/>
              <c:x val="0.33383685800604357"/>
              <c:y val="0.862500000000000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3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734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326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47734138972758"/>
          <c:y val="0.44374999999999998"/>
          <c:w val="0.20543806646525734"/>
          <c:h val="7.81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CALL PRICE as Function of Expected Asset Volatility</a:t>
            </a:r>
          </a:p>
        </c:rich>
      </c:tx>
      <c:layout>
        <c:manualLayout>
          <c:xMode val="edge"/>
          <c:yMode val="edge"/>
          <c:x val="0.12129380053908394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7779305942623E-2"/>
          <c:y val="0.22580645161290341"/>
          <c:w val="0.70080908651204465"/>
          <c:h val="0.53958944281524857"/>
        </c:manualLayout>
      </c:layout>
      <c:lineChart>
        <c:grouping val="standard"/>
        <c:varyColors val="0"/>
        <c:ser>
          <c:idx val="0"/>
          <c:order val="0"/>
          <c:tx>
            <c:strRef>
              <c:f>[3]CALL_VOLATILITY!$A$6</c:f>
              <c:strCache>
                <c:ptCount val="1"/>
                <c:pt idx="0">
                  <c:v>CALL PRICE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[3]CALL_VOLATILITY!$B$4:$N$4</c:f>
              <c:numCache>
                <c:formatCode>General</c:formatCode>
                <c:ptCount val="13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0.54999999999999993</c:v>
                </c:pt>
                <c:pt idx="11">
                  <c:v>0.6</c:v>
                </c:pt>
                <c:pt idx="12">
                  <c:v>0.65</c:v>
                </c:pt>
              </c:numCache>
            </c:numRef>
          </c:cat>
          <c:val>
            <c:numRef>
              <c:f>[3]CALL_VOLATILITY!$B$6:$N$6</c:f>
              <c:numCache>
                <c:formatCode>General</c:formatCode>
                <c:ptCount val="13"/>
                <c:pt idx="0">
                  <c:v>5.2832670625505358</c:v>
                </c:pt>
                <c:pt idx="1">
                  <c:v>6.8049628767414845</c:v>
                </c:pt>
                <c:pt idx="2">
                  <c:v>8.5916594253844281</c:v>
                </c:pt>
                <c:pt idx="3">
                  <c:v>10.450575629120408</c:v>
                </c:pt>
                <c:pt idx="4">
                  <c:v>12.335985881706478</c:v>
                </c:pt>
                <c:pt idx="5">
                  <c:v>14.231244950504234</c:v>
                </c:pt>
                <c:pt idx="6">
                  <c:v>16.128427624240331</c:v>
                </c:pt>
                <c:pt idx="7">
                  <c:v>18.022951531770786</c:v>
                </c:pt>
                <c:pt idx="8">
                  <c:v>19.911767916894426</c:v>
                </c:pt>
                <c:pt idx="9">
                  <c:v>21.792599909495252</c:v>
                </c:pt>
                <c:pt idx="10">
                  <c:v>23.663603276554539</c:v>
                </c:pt>
                <c:pt idx="11">
                  <c:v>25.523197290048806</c:v>
                </c:pt>
                <c:pt idx="12">
                  <c:v>27.369974028454649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79-41E8-9154-374A34FAB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00064"/>
        <c:axId val="173962368"/>
      </c:lineChart>
      <c:catAx>
        <c:axId val="17380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Expected Asset Volatility</a:t>
                </a:r>
              </a:p>
            </c:rich>
          </c:tx>
          <c:layout>
            <c:manualLayout>
              <c:xMode val="edge"/>
              <c:yMode val="edge"/>
              <c:x val="0.28571442720603318"/>
              <c:y val="0.870967741935483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96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962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8000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93048510445631"/>
          <c:y val="0.46041055718475266"/>
          <c:w val="0.18328855119525214"/>
          <c:h val="7.3313782991202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"Perfect" Hedging with Commodity Futures</a:t>
            </a:r>
          </a:p>
        </c:rich>
      </c:tx>
      <c:layout>
        <c:manualLayout>
          <c:xMode val="edge"/>
          <c:yMode val="edge"/>
          <c:x val="0.1909476661951918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54172560113153"/>
          <c:y val="0.22128912073573381"/>
          <c:w val="0.54596888260254595"/>
          <c:h val="0.61904931243794181"/>
        </c:manualLayout>
      </c:layout>
      <c:lineChart>
        <c:grouping val="standard"/>
        <c:varyColors val="0"/>
        <c:ser>
          <c:idx val="0"/>
          <c:order val="0"/>
          <c:tx>
            <c:strRef>
              <c:f>[4]Hedging!$A$2</c:f>
              <c:strCache>
                <c:ptCount val="1"/>
                <c:pt idx="0">
                  <c:v>OWN ASSET-DEBT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[4]Hedging!$B$2:$N$2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[4]Hedging!$B$2:$N$2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DB-45F9-89A6-9852800AD8C3}"/>
            </c:ext>
          </c:extLst>
        </c:ser>
        <c:ser>
          <c:idx val="1"/>
          <c:order val="1"/>
          <c:tx>
            <c:strRef>
              <c:f>[4]Hedging!$A$3</c:f>
              <c:strCache>
                <c:ptCount val="1"/>
                <c:pt idx="0">
                  <c:v>SHORT FUTURES POSITION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[4]Hedging!$B$2:$N$2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[4]Hedging!$B$3:$N$3</c:f>
              <c:numCache>
                <c:formatCode>General</c:formatCode>
                <c:ptCount val="13"/>
                <c:pt idx="0">
                  <c:v>150</c:v>
                </c:pt>
                <c:pt idx="1">
                  <c:v>125</c:v>
                </c:pt>
                <c:pt idx="2">
                  <c:v>100</c:v>
                </c:pt>
                <c:pt idx="3">
                  <c:v>75</c:v>
                </c:pt>
                <c:pt idx="4">
                  <c:v>50</c:v>
                </c:pt>
                <c:pt idx="5">
                  <c:v>25</c:v>
                </c:pt>
                <c:pt idx="6">
                  <c:v>0</c:v>
                </c:pt>
                <c:pt idx="7">
                  <c:v>-25</c:v>
                </c:pt>
                <c:pt idx="8">
                  <c:v>-50</c:v>
                </c:pt>
                <c:pt idx="9">
                  <c:v>-75</c:v>
                </c:pt>
                <c:pt idx="10">
                  <c:v>-100</c:v>
                </c:pt>
                <c:pt idx="11">
                  <c:v>-125</c:v>
                </c:pt>
                <c:pt idx="12">
                  <c:v>-150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DB-45F9-89A6-9852800AD8C3}"/>
            </c:ext>
          </c:extLst>
        </c:ser>
        <c:ser>
          <c:idx val="2"/>
          <c:order val="2"/>
          <c:tx>
            <c:strRef>
              <c:f>[4]Hedging!$A$4</c:f>
              <c:strCache>
                <c:ptCount val="1"/>
                <c:pt idx="0">
                  <c:v>STRATEGY RESULT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[4]Hedging!$B$2:$N$2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[4]Hedging!$B$4:$N$4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DB-45F9-89A6-9852800AD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58112"/>
        <c:axId val="173544192"/>
      </c:lineChart>
      <c:catAx>
        <c:axId val="17405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Net Asset Value</a:t>
                </a:r>
              </a:p>
            </c:rich>
          </c:tx>
          <c:layout>
            <c:manualLayout>
              <c:xMode val="edge"/>
              <c:yMode val="edge"/>
              <c:x val="0.31541725601131543"/>
              <c:y val="0.876753052927207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54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544192"/>
        <c:scaling>
          <c:orientation val="minMax"/>
          <c:max val="150"/>
          <c:min val="-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Net Gain/Loss</a:t>
                </a:r>
              </a:p>
            </c:rich>
          </c:tx>
          <c:layout>
            <c:manualLayout>
              <c:xMode val="edge"/>
              <c:yMode val="edge"/>
              <c:x val="2.2630834512022784E-2"/>
              <c:y val="0.37254990185050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0581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287128712871606"/>
          <c:y val="0.35014093826506981"/>
          <c:w val="0.27581329561527707"/>
          <c:h val="0.364146540505966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STRATEGY 1: SELLING AN OPTION TO PURCHASE 
  AN OWNED NET ASSET</a:t>
            </a:r>
          </a:p>
        </c:rich>
      </c:tx>
      <c:layout>
        <c:manualLayout>
          <c:xMode val="edge"/>
          <c:yMode val="edge"/>
          <c:x val="0.13924050632911392"/>
          <c:y val="3.39943342776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07716639906173E-2"/>
          <c:y val="0.30028328611898031"/>
          <c:w val="0.59071811093270521"/>
          <c:h val="0.5382436260623229"/>
        </c:manualLayout>
      </c:layout>
      <c:lineChart>
        <c:grouping val="standard"/>
        <c:varyColors val="0"/>
        <c:ser>
          <c:idx val="0"/>
          <c:order val="0"/>
          <c:tx>
            <c:strRef>
              <c:f>[4]Strategy1!$A$2</c:f>
              <c:strCache>
                <c:ptCount val="1"/>
                <c:pt idx="0">
                  <c:v>OWN ASSET-DEBT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[4]Strategy1!$B$2:$N$2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[4]Strategy1!$B$2:$N$2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D0-405D-B20A-BE04F3EA8535}"/>
            </c:ext>
          </c:extLst>
        </c:ser>
        <c:ser>
          <c:idx val="1"/>
          <c:order val="1"/>
          <c:tx>
            <c:strRef>
              <c:f>[4]Strategy1!$A$3</c:f>
              <c:strCache>
                <c:ptCount val="1"/>
                <c:pt idx="0">
                  <c:v>WRITE REAL CALL INTRINSIC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[4]Strategy1!$B$2:$N$2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[4]Strategy1!$B$3:$N$3</c:f>
              <c:numCache>
                <c:formatCode>General</c:formatCode>
                <c:ptCount val="13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-25</c:v>
                </c:pt>
                <c:pt idx="9">
                  <c:v>-50</c:v>
                </c:pt>
                <c:pt idx="10">
                  <c:v>-75</c:v>
                </c:pt>
                <c:pt idx="11">
                  <c:v>-100</c:v>
                </c:pt>
                <c:pt idx="12">
                  <c:v>-125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D0-405D-B20A-BE04F3EA8535}"/>
            </c:ext>
          </c:extLst>
        </c:ser>
        <c:ser>
          <c:idx val="2"/>
          <c:order val="2"/>
          <c:tx>
            <c:strRef>
              <c:f>[4]Strategy1!$A$4</c:f>
              <c:strCache>
                <c:ptCount val="1"/>
                <c:pt idx="0">
                  <c:v>STRATEGY RESULT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[4]Strategy1!$B$2:$N$2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[4]Strategy1!$B$4:$N$4</c:f>
              <c:numCache>
                <c:formatCode>General</c:formatCode>
                <c:ptCount val="13"/>
                <c:pt idx="0">
                  <c:v>-125</c:v>
                </c:pt>
                <c:pt idx="1">
                  <c:v>-100</c:v>
                </c:pt>
                <c:pt idx="2">
                  <c:v>-75</c:v>
                </c:pt>
                <c:pt idx="3">
                  <c:v>-50</c:v>
                </c:pt>
                <c:pt idx="4">
                  <c:v>-25</c:v>
                </c:pt>
                <c:pt idx="5">
                  <c:v>0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D0-405D-B20A-BE04F3EA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08896"/>
        <c:axId val="174223744"/>
      </c:lineChart>
      <c:catAx>
        <c:axId val="17420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NET ASSET VALUE</a:t>
                </a:r>
              </a:p>
            </c:rich>
          </c:tx>
          <c:layout>
            <c:manualLayout>
              <c:xMode val="edge"/>
              <c:yMode val="edge"/>
              <c:x val="0.27426204635812929"/>
              <c:y val="0.875354107648727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22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223744"/>
        <c:scaling>
          <c:orientation val="minMax"/>
          <c:max val="150"/>
          <c:min val="-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2088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448767216334264"/>
          <c:y val="0.3852691218130313"/>
          <c:w val="0.27426204635812923"/>
          <c:h val="0.36827195467422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2: BUYING PROTECTIVE CALL TO COVER REQUIREMENT TO USE</a:t>
            </a:r>
            <a:r>
              <a:rPr lang="en-US" baseline="0"/>
              <a:t> NET ASSET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STRATEGY2!$A$3</c:f>
              <c:strCache>
                <c:ptCount val="1"/>
                <c:pt idx="0">
                  <c:v>REQUIRE USE OF NET ASSET</c:v>
                </c:pt>
              </c:strCache>
            </c:strRef>
          </c:tx>
          <c:cat>
            <c:numRef>
              <c:f>STRATEGY2!$B$2:$N$2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STRATEGY2!$B$3:$N$3</c:f>
              <c:numCache>
                <c:formatCode>#,##0</c:formatCode>
                <c:ptCount val="13"/>
                <c:pt idx="0">
                  <c:v>150</c:v>
                </c:pt>
                <c:pt idx="1">
                  <c:v>125</c:v>
                </c:pt>
                <c:pt idx="2">
                  <c:v>100</c:v>
                </c:pt>
                <c:pt idx="3">
                  <c:v>75</c:v>
                </c:pt>
                <c:pt idx="4">
                  <c:v>50</c:v>
                </c:pt>
                <c:pt idx="5">
                  <c:v>25</c:v>
                </c:pt>
                <c:pt idx="6">
                  <c:v>0</c:v>
                </c:pt>
                <c:pt idx="7">
                  <c:v>-25</c:v>
                </c:pt>
                <c:pt idx="8">
                  <c:v>-50</c:v>
                </c:pt>
                <c:pt idx="9">
                  <c:v>-75</c:v>
                </c:pt>
                <c:pt idx="10">
                  <c:v>-100</c:v>
                </c:pt>
                <c:pt idx="11">
                  <c:v>-125</c:v>
                </c:pt>
                <c:pt idx="12">
                  <c:v>-150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A6-4CB7-A5C3-2DF00E94BB49}"/>
            </c:ext>
          </c:extLst>
        </c:ser>
        <c:ser>
          <c:idx val="1"/>
          <c:order val="1"/>
          <c:tx>
            <c:strRef>
              <c:f>STRATEGY2!$A$4</c:f>
              <c:strCache>
                <c:ptCount val="1"/>
                <c:pt idx="0">
                  <c:v>BUY REAL CALL INTRINSIC</c:v>
                </c:pt>
              </c:strCache>
            </c:strRef>
          </c:tx>
          <c:cat>
            <c:numRef>
              <c:f>STRATEGY2!$B$2:$N$2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STRATEGY2!$B$4:$N$4</c:f>
              <c:numCache>
                <c:formatCode>#,##0</c:formatCode>
                <c:ptCount val="13"/>
                <c:pt idx="0">
                  <c:v>-25</c:v>
                </c:pt>
                <c:pt idx="1">
                  <c:v>-25</c:v>
                </c:pt>
                <c:pt idx="2">
                  <c:v>-25</c:v>
                </c:pt>
                <c:pt idx="3">
                  <c:v>-25</c:v>
                </c:pt>
                <c:pt idx="4">
                  <c:v>-25</c:v>
                </c:pt>
                <c:pt idx="5">
                  <c:v>-25</c:v>
                </c:pt>
                <c:pt idx="6">
                  <c:v>-25</c:v>
                </c:pt>
                <c:pt idx="7">
                  <c:v>0</c:v>
                </c:pt>
                <c:pt idx="8">
                  <c:v>25</c:v>
                </c:pt>
                <c:pt idx="9">
                  <c:v>50</c:v>
                </c:pt>
                <c:pt idx="10">
                  <c:v>75</c:v>
                </c:pt>
                <c:pt idx="11">
                  <c:v>100</c:v>
                </c:pt>
                <c:pt idx="12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A6-4CB7-A5C3-2DF00E94BB49}"/>
            </c:ext>
          </c:extLst>
        </c:ser>
        <c:ser>
          <c:idx val="2"/>
          <c:order val="2"/>
          <c:tx>
            <c:strRef>
              <c:f>STRATEGY2!$A$5</c:f>
              <c:strCache>
                <c:ptCount val="1"/>
                <c:pt idx="0">
                  <c:v>STRATEGY RESULT</c:v>
                </c:pt>
              </c:strCache>
            </c:strRef>
          </c:tx>
          <c:cat>
            <c:numRef>
              <c:f>STRATEGY2!$B$2:$N$2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STRATEGY2!$B$5:$N$5</c:f>
              <c:numCache>
                <c:formatCode>#,##0</c:formatCode>
                <c:ptCount val="13"/>
                <c:pt idx="0">
                  <c:v>125</c:v>
                </c:pt>
                <c:pt idx="1">
                  <c:v>100</c:v>
                </c:pt>
                <c:pt idx="2">
                  <c:v>75</c:v>
                </c:pt>
                <c:pt idx="3">
                  <c:v>50</c:v>
                </c:pt>
                <c:pt idx="4">
                  <c:v>25</c:v>
                </c:pt>
                <c:pt idx="5">
                  <c:v>0</c:v>
                </c:pt>
                <c:pt idx="6">
                  <c:v>-25</c:v>
                </c:pt>
                <c:pt idx="7">
                  <c:v>-25</c:v>
                </c:pt>
                <c:pt idx="8">
                  <c:v>-25</c:v>
                </c:pt>
                <c:pt idx="9">
                  <c:v>-25</c:v>
                </c:pt>
                <c:pt idx="10">
                  <c:v>-25</c:v>
                </c:pt>
                <c:pt idx="11">
                  <c:v>-25</c:v>
                </c:pt>
                <c:pt idx="12">
                  <c:v>-25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A6-4CB7-A5C3-2DF00E94B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29920"/>
        <c:axId val="174131840"/>
      </c:lineChart>
      <c:catAx>
        <c:axId val="17412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</a:t>
                </a:r>
                <a:r>
                  <a:rPr lang="en-US" baseline="0"/>
                  <a:t> Asset Value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74131840"/>
        <c:crosses val="autoZero"/>
        <c:auto val="1"/>
        <c:lblAlgn val="ctr"/>
        <c:lblOffset val="100"/>
        <c:noMultiLvlLbl val="0"/>
      </c:catAx>
      <c:valAx>
        <c:axId val="174131840"/>
        <c:scaling>
          <c:orientation val="minMax"/>
          <c:max val="150"/>
          <c:min val="-15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41299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</a:t>
            </a:r>
            <a:r>
              <a:rPr lang="en-US" baseline="0"/>
              <a:t> 3: BUYING PROTECTIVE PUT TO COVER OWNED NET ASSET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STRATEGY3!$A$2</c:f>
              <c:strCache>
                <c:ptCount val="1"/>
                <c:pt idx="0">
                  <c:v>OWN ASSET-DEBT</c:v>
                </c:pt>
              </c:strCache>
            </c:strRef>
          </c:tx>
          <c:cat>
            <c:numRef>
              <c:f>STRATEGY3!$B$2:$N$2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STRATEGY3!$B$2:$N$2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32-4633-8B87-46DF25AED513}"/>
            </c:ext>
          </c:extLst>
        </c:ser>
        <c:ser>
          <c:idx val="1"/>
          <c:order val="1"/>
          <c:tx>
            <c:strRef>
              <c:f>STRATEGY3!$A$3</c:f>
              <c:strCache>
                <c:ptCount val="1"/>
                <c:pt idx="0">
                  <c:v>BUY REAL PUT INTRINSIC</c:v>
                </c:pt>
              </c:strCache>
            </c:strRef>
          </c:tx>
          <c:cat>
            <c:numRef>
              <c:f>STRATEGY3!$B$2:$N$2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STRATEGY3!$B$3:$N$3</c:f>
              <c:numCache>
                <c:formatCode>General</c:formatCode>
                <c:ptCount val="13"/>
                <c:pt idx="0">
                  <c:v>140</c:v>
                </c:pt>
                <c:pt idx="1">
                  <c:v>115</c:v>
                </c:pt>
                <c:pt idx="2">
                  <c:v>90</c:v>
                </c:pt>
                <c:pt idx="3">
                  <c:v>65</c:v>
                </c:pt>
                <c:pt idx="4">
                  <c:v>40</c:v>
                </c:pt>
                <c:pt idx="5">
                  <c:v>15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32-4633-8B87-46DF25AED513}"/>
            </c:ext>
          </c:extLst>
        </c:ser>
        <c:ser>
          <c:idx val="2"/>
          <c:order val="2"/>
          <c:tx>
            <c:strRef>
              <c:f>STRATEGY3!$A$4</c:f>
              <c:strCache>
                <c:ptCount val="1"/>
                <c:pt idx="0">
                  <c:v>STRATEGY RESULT</c:v>
                </c:pt>
              </c:strCache>
            </c:strRef>
          </c:tx>
          <c:cat>
            <c:numRef>
              <c:f>STRATEGY3!$B$2:$N$2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STRATEGY3!$B$4:$N$4</c:f>
              <c:numCache>
                <c:formatCode>General</c:formatCode>
                <c:ptCount val="13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15</c:v>
                </c:pt>
                <c:pt idx="8">
                  <c:v>40</c:v>
                </c:pt>
                <c:pt idx="9">
                  <c:v>65</c:v>
                </c:pt>
                <c:pt idx="10">
                  <c:v>90</c:v>
                </c:pt>
                <c:pt idx="11">
                  <c:v>115</c:v>
                </c:pt>
                <c:pt idx="12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32-4633-8B87-46DF25AED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97472"/>
        <c:axId val="174299392"/>
      </c:lineChart>
      <c:catAx>
        <c:axId val="17429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</a:t>
                </a:r>
                <a:r>
                  <a:rPr lang="en-US" baseline="0"/>
                  <a:t> Asset Value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4299392"/>
        <c:crosses val="autoZero"/>
        <c:auto val="1"/>
        <c:lblAlgn val="ctr"/>
        <c:lblOffset val="100"/>
        <c:noMultiLvlLbl val="0"/>
      </c:catAx>
      <c:valAx>
        <c:axId val="174299392"/>
        <c:scaling>
          <c:orientation val="minMax"/>
          <c:max val="150"/>
          <c:min val="-1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2974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STRATEGY 4: REQUIRE USE OF NET ASSET
 &amp; WRITE A PUT</a:t>
            </a:r>
          </a:p>
        </c:rich>
      </c:tx>
      <c:layout>
        <c:manualLayout>
          <c:xMode val="edge"/>
          <c:yMode val="edge"/>
          <c:x val="0.19660537482319659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08910891089549E-2"/>
          <c:y val="0.304733727810652"/>
          <c:w val="0.56152758132956149"/>
          <c:h val="0.5266272189349116"/>
        </c:manualLayout>
      </c:layout>
      <c:lineChart>
        <c:grouping val="standard"/>
        <c:varyColors val="0"/>
        <c:ser>
          <c:idx val="0"/>
          <c:order val="0"/>
          <c:tx>
            <c:strRef>
              <c:f>[4]Strategy4!$A$3</c:f>
              <c:strCache>
                <c:ptCount val="1"/>
                <c:pt idx="0">
                  <c:v>REQUIRE USE OF NET ASSET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[4]Strategy4!$B$2:$N$2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[4]Strategy4!$B$3:$N$3</c:f>
              <c:numCache>
                <c:formatCode>General</c:formatCode>
                <c:ptCount val="13"/>
                <c:pt idx="0">
                  <c:v>150</c:v>
                </c:pt>
                <c:pt idx="1">
                  <c:v>125</c:v>
                </c:pt>
                <c:pt idx="2">
                  <c:v>100</c:v>
                </c:pt>
                <c:pt idx="3">
                  <c:v>75</c:v>
                </c:pt>
                <c:pt idx="4">
                  <c:v>50</c:v>
                </c:pt>
                <c:pt idx="5">
                  <c:v>25</c:v>
                </c:pt>
                <c:pt idx="6">
                  <c:v>0</c:v>
                </c:pt>
                <c:pt idx="7">
                  <c:v>-25</c:v>
                </c:pt>
                <c:pt idx="8">
                  <c:v>-50</c:v>
                </c:pt>
                <c:pt idx="9">
                  <c:v>-75</c:v>
                </c:pt>
                <c:pt idx="10">
                  <c:v>-100</c:v>
                </c:pt>
                <c:pt idx="11">
                  <c:v>-125</c:v>
                </c:pt>
                <c:pt idx="12">
                  <c:v>-150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DE-4177-82A6-A4BF4D8F84A3}"/>
            </c:ext>
          </c:extLst>
        </c:ser>
        <c:ser>
          <c:idx val="1"/>
          <c:order val="1"/>
          <c:tx>
            <c:strRef>
              <c:f>[4]Strategy4!$A$4</c:f>
              <c:strCache>
                <c:ptCount val="1"/>
                <c:pt idx="0">
                  <c:v>WRITE REAL PUT INTRINSIC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[4]Strategy4!$B$2:$N$2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[4]Strategy4!$B$4:$N$4</c:f>
              <c:numCache>
                <c:formatCode>General</c:formatCode>
                <c:ptCount val="13"/>
                <c:pt idx="0">
                  <c:v>-125</c:v>
                </c:pt>
                <c:pt idx="1">
                  <c:v>-100</c:v>
                </c:pt>
                <c:pt idx="2">
                  <c:v>-75</c:v>
                </c:pt>
                <c:pt idx="3">
                  <c:v>-50</c:v>
                </c:pt>
                <c:pt idx="4">
                  <c:v>-25</c:v>
                </c:pt>
                <c:pt idx="5">
                  <c:v>0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DE-4177-82A6-A4BF4D8F84A3}"/>
            </c:ext>
          </c:extLst>
        </c:ser>
        <c:ser>
          <c:idx val="2"/>
          <c:order val="2"/>
          <c:tx>
            <c:strRef>
              <c:f>[4]Strategy4!$A$5</c:f>
              <c:strCache>
                <c:ptCount val="1"/>
                <c:pt idx="0">
                  <c:v>STRATEGY RESULT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[4]Strategy4!$B$2:$N$2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[4]Strategy4!$B$5:$N$5</c:f>
              <c:numCache>
                <c:formatCode>General</c:formatCode>
                <c:ptCount val="13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-25</c:v>
                </c:pt>
                <c:pt idx="9">
                  <c:v>-50</c:v>
                </c:pt>
                <c:pt idx="10">
                  <c:v>-75</c:v>
                </c:pt>
                <c:pt idx="11">
                  <c:v>-100</c:v>
                </c:pt>
                <c:pt idx="12">
                  <c:v>-125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DE-4177-82A6-A4BF4D8F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45312"/>
        <c:axId val="174447616"/>
      </c:lineChart>
      <c:catAx>
        <c:axId val="17444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NET ASSET VALUE</a:t>
                </a:r>
              </a:p>
            </c:rich>
          </c:tx>
          <c:layout>
            <c:manualLayout>
              <c:xMode val="edge"/>
              <c:yMode val="edge"/>
              <c:x val="0.25884016973126006"/>
              <c:y val="0.8698224852071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44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447616"/>
        <c:scaling>
          <c:orientation val="minMax"/>
          <c:max val="150"/>
          <c:min val="-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4453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599717114568604"/>
          <c:y val="0.37573964497041418"/>
          <c:w val="0.30268741159830281"/>
          <c:h val="0.3846153846153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13</xdr:col>
      <xdr:colOff>371475</xdr:colOff>
      <xdr:row>22</xdr:row>
      <xdr:rowOff>142875</xdr:rowOff>
    </xdr:to>
    <xdr:graphicFrame macro="">
      <xdr:nvGraphicFramePr>
        <xdr:cNvPr id="13318" name="Chart 2">
          <a:extLst>
            <a:ext uri="{FF2B5EF4-FFF2-40B4-BE49-F238E27FC236}">
              <a16:creationId xmlns:a16="http://schemas.microsoft.com/office/drawing/2014/main" id="{00000000-0008-0000-0100-000006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16</xdr:row>
      <xdr:rowOff>47625</xdr:rowOff>
    </xdr:from>
    <xdr:to>
      <xdr:col>13</xdr:col>
      <xdr:colOff>285750</xdr:colOff>
      <xdr:row>43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38101</xdr:rowOff>
    </xdr:from>
    <xdr:to>
      <xdr:col>13</xdr:col>
      <xdr:colOff>285750</xdr:colOff>
      <xdr:row>68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</xdr:row>
      <xdr:rowOff>9525</xdr:rowOff>
    </xdr:from>
    <xdr:to>
      <xdr:col>13</xdr:col>
      <xdr:colOff>600075</xdr:colOff>
      <xdr:row>39</xdr:row>
      <xdr:rowOff>0</xdr:rowOff>
    </xdr:to>
    <xdr:graphicFrame macro="">
      <xdr:nvGraphicFramePr>
        <xdr:cNvPr id="22534" name="Chart 2">
          <a:extLst>
            <a:ext uri="{FF2B5EF4-FFF2-40B4-BE49-F238E27FC236}">
              <a16:creationId xmlns:a16="http://schemas.microsoft.com/office/drawing/2014/main" id="{00000000-0008-0000-1200-00000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161924</xdr:rowOff>
    </xdr:from>
    <xdr:to>
      <xdr:col>13</xdr:col>
      <xdr:colOff>371475</xdr:colOff>
      <xdr:row>32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19050</xdr:rowOff>
    </xdr:from>
    <xdr:to>
      <xdr:col>14</xdr:col>
      <xdr:colOff>0</xdr:colOff>
      <xdr:row>35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19050</xdr:rowOff>
    </xdr:from>
    <xdr:to>
      <xdr:col>26</xdr:col>
      <xdr:colOff>0</xdr:colOff>
      <xdr:row>41</xdr:row>
      <xdr:rowOff>142875</xdr:rowOff>
    </xdr:to>
    <xdr:graphicFrame macro="">
      <xdr:nvGraphicFramePr>
        <xdr:cNvPr id="44037" name="Chart 1">
          <a:extLst>
            <a:ext uri="{FF2B5EF4-FFF2-40B4-BE49-F238E27FC236}">
              <a16:creationId xmlns:a16="http://schemas.microsoft.com/office/drawing/2014/main" id="{00000000-0008-0000-1500-000005A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18</xdr:row>
      <xdr:rowOff>19050</xdr:rowOff>
    </xdr:from>
    <xdr:to>
      <xdr:col>10</xdr:col>
      <xdr:colOff>19050</xdr:colOff>
      <xdr:row>40</xdr:row>
      <xdr:rowOff>0</xdr:rowOff>
    </xdr:to>
    <xdr:graphicFrame macro="">
      <xdr:nvGraphicFramePr>
        <xdr:cNvPr id="24581" name="Chart 1">
          <a:extLst>
            <a:ext uri="{FF2B5EF4-FFF2-40B4-BE49-F238E27FC236}">
              <a16:creationId xmlns:a16="http://schemas.microsoft.com/office/drawing/2014/main" id="{00000000-0008-0000-1700-000005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0</xdr:rowOff>
    </xdr:from>
    <xdr:to>
      <xdr:col>9</xdr:col>
      <xdr:colOff>561975</xdr:colOff>
      <xdr:row>43</xdr:row>
      <xdr:rowOff>152400</xdr:rowOff>
    </xdr:to>
    <xdr:graphicFrame macro="">
      <xdr:nvGraphicFramePr>
        <xdr:cNvPr id="25605" name="Chart 1">
          <a:extLst>
            <a:ext uri="{FF2B5EF4-FFF2-40B4-BE49-F238E27FC236}">
              <a16:creationId xmlns:a16="http://schemas.microsoft.com/office/drawing/2014/main" id="{00000000-0008-0000-1800-000005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142875</xdr:rowOff>
    </xdr:from>
    <xdr:to>
      <xdr:col>9</xdr:col>
      <xdr:colOff>600075</xdr:colOff>
      <xdr:row>48</xdr:row>
      <xdr:rowOff>28575</xdr:rowOff>
    </xdr:to>
    <xdr:graphicFrame macro="">
      <xdr:nvGraphicFramePr>
        <xdr:cNvPr id="26629" name="Chart 1">
          <a:extLst>
            <a:ext uri="{FF2B5EF4-FFF2-40B4-BE49-F238E27FC236}">
              <a16:creationId xmlns:a16="http://schemas.microsoft.com/office/drawing/2014/main" id="{00000000-0008-0000-1900-000005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13</xdr:col>
      <xdr:colOff>466725</xdr:colOff>
      <xdr:row>30</xdr:row>
      <xdr:rowOff>152400</xdr:rowOff>
    </xdr:to>
    <xdr:graphicFrame macro="">
      <xdr:nvGraphicFramePr>
        <xdr:cNvPr id="14342" name="Chart 2">
          <a:extLst>
            <a:ext uri="{FF2B5EF4-FFF2-40B4-BE49-F238E27FC236}">
              <a16:creationId xmlns:a16="http://schemas.microsoft.com/office/drawing/2014/main" id="{00000000-0008-0000-0200-000006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9525</xdr:rowOff>
    </xdr:from>
    <xdr:to>
      <xdr:col>14</xdr:col>
      <xdr:colOff>0</xdr:colOff>
      <xdr:row>30</xdr:row>
      <xdr:rowOff>142875</xdr:rowOff>
    </xdr:to>
    <xdr:graphicFrame macro="">
      <xdr:nvGraphicFramePr>
        <xdr:cNvPr id="15365" name="Chart 1">
          <a:extLst>
            <a:ext uri="{FF2B5EF4-FFF2-40B4-BE49-F238E27FC236}">
              <a16:creationId xmlns:a16="http://schemas.microsoft.com/office/drawing/2014/main" id="{00000000-0008-0000-0600-000005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9525</xdr:rowOff>
    </xdr:from>
    <xdr:to>
      <xdr:col>13</xdr:col>
      <xdr:colOff>447675</xdr:colOff>
      <xdr:row>32</xdr:row>
      <xdr:rowOff>19050</xdr:rowOff>
    </xdr:to>
    <xdr:graphicFrame macro="">
      <xdr:nvGraphicFramePr>
        <xdr:cNvPr id="16389" name="Chart 1">
          <a:extLst>
            <a:ext uri="{FF2B5EF4-FFF2-40B4-BE49-F238E27FC236}">
              <a16:creationId xmlns:a16="http://schemas.microsoft.com/office/drawing/2014/main" id="{00000000-0008-0000-0700-000005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152400</xdr:rowOff>
    </xdr:from>
    <xdr:to>
      <xdr:col>13</xdr:col>
      <xdr:colOff>361950</xdr:colOff>
      <xdr:row>31</xdr:row>
      <xdr:rowOff>152400</xdr:rowOff>
    </xdr:to>
    <xdr:graphicFrame macro="">
      <xdr:nvGraphicFramePr>
        <xdr:cNvPr id="17413" name="Chart 1">
          <a:extLst>
            <a:ext uri="{FF2B5EF4-FFF2-40B4-BE49-F238E27FC236}">
              <a16:creationId xmlns:a16="http://schemas.microsoft.com/office/drawing/2014/main" id="{00000000-0008-0000-0C00-000005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14</xdr:col>
      <xdr:colOff>0</xdr:colOff>
      <xdr:row>31</xdr:row>
      <xdr:rowOff>142875</xdr:rowOff>
    </xdr:to>
    <xdr:graphicFrame macro="">
      <xdr:nvGraphicFramePr>
        <xdr:cNvPr id="18437" name="Chart 1">
          <a:extLst>
            <a:ext uri="{FF2B5EF4-FFF2-40B4-BE49-F238E27FC236}">
              <a16:creationId xmlns:a16="http://schemas.microsoft.com/office/drawing/2014/main" id="{00000000-0008-0000-0D00-000005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152400</xdr:rowOff>
    </xdr:from>
    <xdr:to>
      <xdr:col>14</xdr:col>
      <xdr:colOff>9525</xdr:colOff>
      <xdr:row>30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9524</xdr:rowOff>
    </xdr:from>
    <xdr:to>
      <xdr:col>14</xdr:col>
      <xdr:colOff>0</xdr:colOff>
      <xdr:row>30</xdr:row>
      <xdr:rowOff>152399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9525</xdr:rowOff>
    </xdr:from>
    <xdr:to>
      <xdr:col>13</xdr:col>
      <xdr:colOff>361950</xdr:colOff>
      <xdr:row>30</xdr:row>
      <xdr:rowOff>152400</xdr:rowOff>
    </xdr:to>
    <xdr:graphicFrame macro="">
      <xdr:nvGraphicFramePr>
        <xdr:cNvPr id="21509" name="Chart 1">
          <a:extLst>
            <a:ext uri="{FF2B5EF4-FFF2-40B4-BE49-F238E27FC236}">
              <a16:creationId xmlns:a16="http://schemas.microsoft.com/office/drawing/2014/main" id="{00000000-0008-0000-1000-000005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CF00/Real_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RCF02/RCF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Real%20Value/REAL%20VALUE%20EXCEL%201_06_EXERCISES_PROBLEM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Real%20Value/CH3_RO_PAYOFFS_10_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RIER"/>
      <sheetName val="APPROX_AMER_CALL"/>
    </sheetNames>
    <sheetDataSet>
      <sheetData sheetId="0">
        <row r="5">
          <cell r="B5">
            <v>110</v>
          </cell>
          <cell r="C5">
            <v>110</v>
          </cell>
          <cell r="D5">
            <v>110</v>
          </cell>
          <cell r="E5">
            <v>110</v>
          </cell>
          <cell r="F5">
            <v>110</v>
          </cell>
          <cell r="G5">
            <v>110</v>
          </cell>
          <cell r="H5">
            <v>110</v>
          </cell>
        </row>
        <row r="6">
          <cell r="B6">
            <v>100</v>
          </cell>
          <cell r="C6">
            <v>100</v>
          </cell>
          <cell r="D6">
            <v>100</v>
          </cell>
          <cell r="E6">
            <v>100</v>
          </cell>
          <cell r="F6">
            <v>100</v>
          </cell>
          <cell r="G6">
            <v>100</v>
          </cell>
          <cell r="H6">
            <v>100</v>
          </cell>
        </row>
        <row r="7">
          <cell r="B7">
            <v>0.5</v>
          </cell>
          <cell r="C7">
            <v>0.5</v>
          </cell>
          <cell r="D7">
            <v>0.5</v>
          </cell>
          <cell r="E7">
            <v>0.5</v>
          </cell>
          <cell r="F7">
            <v>0.5</v>
          </cell>
          <cell r="G7">
            <v>0.5</v>
          </cell>
          <cell r="H7">
            <v>0.5</v>
          </cell>
        </row>
        <row r="8">
          <cell r="B8">
            <v>0.1</v>
          </cell>
          <cell r="C8">
            <v>0.1</v>
          </cell>
          <cell r="D8">
            <v>0.1</v>
          </cell>
          <cell r="E8">
            <v>0.1</v>
          </cell>
          <cell r="F8">
            <v>0.1</v>
          </cell>
          <cell r="G8">
            <v>0.1</v>
          </cell>
          <cell r="H8">
            <v>0.1</v>
          </cell>
        </row>
        <row r="9">
          <cell r="B9">
            <v>0.3</v>
          </cell>
          <cell r="C9">
            <v>0.3</v>
          </cell>
          <cell r="D9">
            <v>0.3</v>
          </cell>
          <cell r="E9">
            <v>0.3</v>
          </cell>
          <cell r="F9">
            <v>0.3</v>
          </cell>
          <cell r="G9">
            <v>0.3</v>
          </cell>
          <cell r="H9">
            <v>0.3</v>
          </cell>
        </row>
        <row r="10">
          <cell r="B10">
            <v>18.046947299962582</v>
          </cell>
          <cell r="C10">
            <v>18.046947299962582</v>
          </cell>
          <cell r="D10">
            <v>18.046947299962582</v>
          </cell>
          <cell r="E10">
            <v>18.046947299962582</v>
          </cell>
          <cell r="F10">
            <v>18.046947299962582</v>
          </cell>
          <cell r="G10">
            <v>18.046947299962582</v>
          </cell>
          <cell r="H10">
            <v>18.046947299962582</v>
          </cell>
        </row>
        <row r="13">
          <cell r="B13">
            <v>6.8144210607164191E-4</v>
          </cell>
          <cell r="C13">
            <v>1.0261741445188099E-2</v>
          </cell>
          <cell r="D13">
            <v>7.6886033707199264E-2</v>
          </cell>
          <cell r="E13">
            <v>0.36481618846633967</v>
          </cell>
          <cell r="F13">
            <v>1.229036620381649</v>
          </cell>
          <cell r="G13">
            <v>3.1704812902501942</v>
          </cell>
          <cell r="H13">
            <v>6.6304345586769244</v>
          </cell>
        </row>
        <row r="14">
          <cell r="B14">
            <v>18.046265857856511</v>
          </cell>
          <cell r="C14">
            <v>18.036685558517394</v>
          </cell>
          <cell r="D14">
            <v>17.970061266255382</v>
          </cell>
          <cell r="E14">
            <v>17.682131111496243</v>
          </cell>
          <cell r="F14">
            <v>16.817910679580933</v>
          </cell>
          <cell r="G14">
            <v>14.876466009712388</v>
          </cell>
          <cell r="H14">
            <v>11.416512741285658</v>
          </cell>
        </row>
        <row r="18">
          <cell r="B18">
            <v>0.78554696959090908</v>
          </cell>
          <cell r="C18">
            <v>0.78554696959090908</v>
          </cell>
          <cell r="D18">
            <v>0.78554696959090908</v>
          </cell>
          <cell r="E18">
            <v>0.78554696959090908</v>
          </cell>
          <cell r="F18">
            <v>0.78554696959090908</v>
          </cell>
          <cell r="G18">
            <v>0.78554696959090908</v>
          </cell>
          <cell r="H18">
            <v>0.78554696959090908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F02_GUIDE"/>
      <sheetName val="HOWELL_Fig2.2"/>
      <sheetName val="GROWTH"/>
      <sheetName val="ONE_STEP"/>
      <sheetName val="SIX_STEP"/>
      <sheetName val="LEASIMO"/>
      <sheetName val="CONSTROI"/>
      <sheetName val="SAMUELSON_MCKEAN"/>
      <sheetName val="CANARYWHARF"/>
      <sheetName val="CW_MODEL"/>
      <sheetName val="FOOT_MERCHANDISE"/>
      <sheetName val="STADIUM_USAGE"/>
      <sheetName val="STADIUM_LEASE"/>
      <sheetName val="PETRO_ROV"/>
      <sheetName val="SGT_POWER_ROV"/>
      <sheetName val="CCGT_POWEREXCH_ROV"/>
    </sheetNames>
    <sheetDataSet>
      <sheetData sheetId="0"/>
      <sheetData sheetId="1"/>
      <sheetData sheetId="2">
        <row r="6">
          <cell r="B6">
            <v>20000</v>
          </cell>
        </row>
        <row r="13">
          <cell r="B13">
            <v>60000</v>
          </cell>
        </row>
        <row r="14">
          <cell r="B14">
            <v>2</v>
          </cell>
        </row>
        <row r="15">
          <cell r="B15">
            <v>0.15</v>
          </cell>
        </row>
        <row r="22">
          <cell r="B22">
            <v>0.66297760844208942</v>
          </cell>
        </row>
        <row r="23">
          <cell r="B23">
            <v>0.17802976954183658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_REAL VALUE EXERCISES"/>
      <sheetName val="BINOMIAL_CALL"/>
      <sheetName val="BINOMIAL_PUT"/>
      <sheetName val="BINOMIAL_CALL_PUT"/>
      <sheetName val="CALLl_TIME"/>
      <sheetName val="CALL_VOLATILITY"/>
      <sheetName val="BLACK_SCHOLES"/>
      <sheetName val="DEFERRAL"/>
      <sheetName val="GROWTH"/>
      <sheetName val="EXCHANGE"/>
      <sheetName val="HEDGING1"/>
      <sheetName val="STRATEGY1"/>
      <sheetName val="STRATEGY2"/>
      <sheetName val="STRATEGY3"/>
      <sheetName val="STRATEGY4"/>
      <sheetName val="STRATEGY5"/>
      <sheetName val="SHARING"/>
      <sheetName val="SAMUELSON1"/>
      <sheetName val="SAMUELSON2"/>
      <sheetName val="VOLATILITY"/>
      <sheetName val="DELTA, GAMMA"/>
      <sheetName val="AMER_PERP"/>
      <sheetName val="HEDGING"/>
      <sheetName val="AM_PERP_MF"/>
      <sheetName val="AM_PERP_MF_Q"/>
      <sheetName val="AM_PERP_MF_CORR"/>
      <sheetName val="AM_PERP_EXCH"/>
      <sheetName val="AM_PERP_EXCH_CORR"/>
      <sheetName val="MARSHALL_INVEST"/>
      <sheetName val="MARSHALL_SENSE"/>
      <sheetName val="ENTRY_EXIT"/>
      <sheetName val="ComOption1"/>
      <sheetName val="ComOption2"/>
      <sheetName val="ComOption3"/>
      <sheetName val="Exercise 2.1"/>
      <sheetName val="Exercise 2.2"/>
      <sheetName val="Exercise 2.3"/>
      <sheetName val="Problem 2.4"/>
      <sheetName val="Problem 2.5"/>
      <sheetName val="Problem 2.6"/>
      <sheetName val="Exercise 3.1"/>
      <sheetName val="Exercise 3.2"/>
      <sheetName val="Exercise 3.3"/>
      <sheetName val="Problem 3.4"/>
      <sheetName val="Problem 3.5"/>
      <sheetName val="Problem 3.6"/>
      <sheetName val="Exercise 4.1"/>
      <sheetName val="Exercise 4.2"/>
      <sheetName val="Exercise 4.3"/>
      <sheetName val="Problem 4.4"/>
      <sheetName val="Problem 4.5"/>
      <sheetName val="Problem 4.6"/>
      <sheetName val="Exercise 5.1"/>
      <sheetName val="Exercise 5.2"/>
      <sheetName val="Exercise 5.3"/>
      <sheetName val="Problem 5.4"/>
      <sheetName val="Problem 5.5"/>
      <sheetName val="Problem 5.6"/>
      <sheetName val="QUIGG"/>
      <sheetName val="CASE1"/>
      <sheetName val="CASE2"/>
      <sheetName val="CASE4"/>
      <sheetName val="CASE6"/>
    </sheetNames>
    <sheetDataSet>
      <sheetData sheetId="0"/>
      <sheetData sheetId="1"/>
      <sheetData sheetId="2"/>
      <sheetData sheetId="3"/>
      <sheetData sheetId="4">
        <row r="5">
          <cell r="B5">
            <v>0.5</v>
          </cell>
          <cell r="C5">
            <v>1</v>
          </cell>
          <cell r="D5">
            <v>1.5</v>
          </cell>
          <cell r="E5">
            <v>2</v>
          </cell>
          <cell r="F5">
            <v>2.5</v>
          </cell>
          <cell r="G5">
            <v>3</v>
          </cell>
          <cell r="H5">
            <v>3.5</v>
          </cell>
          <cell r="I5">
            <v>4</v>
          </cell>
          <cell r="J5">
            <v>4.5</v>
          </cell>
          <cell r="K5">
            <v>5</v>
          </cell>
          <cell r="L5">
            <v>5.5</v>
          </cell>
          <cell r="M5">
            <v>6</v>
          </cell>
          <cell r="N5">
            <v>6.5</v>
          </cell>
        </row>
        <row r="6">
          <cell r="A6" t="str">
            <v>CALL PRICE</v>
          </cell>
          <cell r="B6">
            <v>15.127174226438719</v>
          </cell>
          <cell r="C6">
            <v>21.792599909495252</v>
          </cell>
          <cell r="D6">
            <v>26.96572636624488</v>
          </cell>
          <cell r="E6">
            <v>31.327681372697036</v>
          </cell>
          <cell r="F6">
            <v>35.14796655308978</v>
          </cell>
          <cell r="G6">
            <v>38.567827516156434</v>
          </cell>
          <cell r="H6">
            <v>41.673063441514209</v>
          </cell>
          <cell r="I6">
            <v>44.520869947624234</v>
          </cell>
          <cell r="J6">
            <v>47.151910614506249</v>
          </cell>
          <cell r="K6">
            <v>49.596497220189718</v>
          </cell>
          <cell r="L6">
            <v>51.878060097850948</v>
          </cell>
          <cell r="M6">
            <v>54.015237296537613</v>
          </cell>
          <cell r="N6">
            <v>56.023202727966634</v>
          </cell>
        </row>
      </sheetData>
      <sheetData sheetId="5">
        <row r="4">
          <cell r="B4">
            <v>0.05</v>
          </cell>
          <cell r="C4">
            <v>0.1</v>
          </cell>
          <cell r="D4">
            <v>0.15000000000000002</v>
          </cell>
          <cell r="E4">
            <v>0.2</v>
          </cell>
          <cell r="F4">
            <v>0.25</v>
          </cell>
          <cell r="G4">
            <v>0.3</v>
          </cell>
          <cell r="H4">
            <v>0.35</v>
          </cell>
          <cell r="I4">
            <v>0.39999999999999997</v>
          </cell>
          <cell r="J4">
            <v>0.44999999999999996</v>
          </cell>
          <cell r="K4">
            <v>0.49999999999999994</v>
          </cell>
          <cell r="L4">
            <v>0.54999999999999993</v>
          </cell>
          <cell r="M4">
            <v>0.6</v>
          </cell>
          <cell r="N4">
            <v>0.65</v>
          </cell>
        </row>
        <row r="6">
          <cell r="A6" t="str">
            <v>CALL PRICE</v>
          </cell>
          <cell r="B6">
            <v>5.2832670625505358</v>
          </cell>
          <cell r="C6">
            <v>6.8049628767414845</v>
          </cell>
          <cell r="D6">
            <v>8.5916594253844281</v>
          </cell>
          <cell r="E6">
            <v>10.450575629120408</v>
          </cell>
          <cell r="F6">
            <v>12.335985881706478</v>
          </cell>
          <cell r="G6">
            <v>14.231244950504234</v>
          </cell>
          <cell r="H6">
            <v>16.128427624240331</v>
          </cell>
          <cell r="I6">
            <v>18.022951531770786</v>
          </cell>
          <cell r="J6">
            <v>19.911767916894426</v>
          </cell>
          <cell r="K6">
            <v>21.792599909495252</v>
          </cell>
          <cell r="L6">
            <v>23.663603276554539</v>
          </cell>
          <cell r="M6">
            <v>25.523197290048806</v>
          </cell>
          <cell r="N6">
            <v>27.369974028454649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">
          <cell r="B9">
            <v>0</v>
          </cell>
          <cell r="C9">
            <v>0.25</v>
          </cell>
          <cell r="D9">
            <v>0.5</v>
          </cell>
          <cell r="E9">
            <v>0.75</v>
          </cell>
          <cell r="F9">
            <v>1</v>
          </cell>
          <cell r="G9">
            <v>1.25</v>
          </cell>
          <cell r="H9">
            <v>1.5</v>
          </cell>
          <cell r="I9">
            <v>1.75</v>
          </cell>
          <cell r="J9">
            <v>2</v>
          </cell>
        </row>
        <row r="14">
          <cell r="A14" t="str">
            <v>DEVELOPMENT OPTION VALUE</v>
          </cell>
          <cell r="B14">
            <v>0</v>
          </cell>
          <cell r="C14">
            <v>1.5625E-2</v>
          </cell>
          <cell r="D14">
            <v>6.25E-2</v>
          </cell>
          <cell r="E14">
            <v>0.140625</v>
          </cell>
          <cell r="F14">
            <v>0.25</v>
          </cell>
          <cell r="G14">
            <v>0.390625</v>
          </cell>
          <cell r="H14">
            <v>0.5625</v>
          </cell>
          <cell r="I14">
            <v>0.765625</v>
          </cell>
          <cell r="J14">
            <v>1</v>
          </cell>
        </row>
        <row r="15">
          <cell r="A15" t="str">
            <v>INTRINSIC OPTION VALUE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0.25</v>
          </cell>
          <cell r="H15">
            <v>0.5</v>
          </cell>
          <cell r="I15">
            <v>0.75</v>
          </cell>
          <cell r="J15">
            <v>1</v>
          </cell>
        </row>
        <row r="16">
          <cell r="A16" t="str">
            <v>DELTA</v>
          </cell>
          <cell r="B16">
            <v>0</v>
          </cell>
          <cell r="C16">
            <v>0.125</v>
          </cell>
          <cell r="D16">
            <v>0.25</v>
          </cell>
          <cell r="E16">
            <v>0.375</v>
          </cell>
          <cell r="F16">
            <v>0.5</v>
          </cell>
          <cell r="G16">
            <v>0.625</v>
          </cell>
          <cell r="H16">
            <v>0.75</v>
          </cell>
          <cell r="I16">
            <v>0.875</v>
          </cell>
          <cell r="J16">
            <v>1</v>
          </cell>
        </row>
      </sheetData>
      <sheetData sheetId="19">
        <row r="7">
          <cell r="B7">
            <v>0.05</v>
          </cell>
          <cell r="C7">
            <v>7.5000000000000011E-2</v>
          </cell>
          <cell r="D7">
            <v>0.1</v>
          </cell>
          <cell r="E7">
            <v>0.125</v>
          </cell>
          <cell r="F7">
            <v>0.15</v>
          </cell>
          <cell r="G7">
            <v>0.17499999999999999</v>
          </cell>
          <cell r="H7">
            <v>0.19999999999999998</v>
          </cell>
          <cell r="I7">
            <v>0.22499999999999998</v>
          </cell>
          <cell r="J7">
            <v>0.24999999999999997</v>
          </cell>
        </row>
        <row r="13">
          <cell r="A13" t="str">
            <v>V*</v>
          </cell>
          <cell r="B13">
            <v>1.1930908858062585</v>
          </cell>
          <cell r="C13">
            <v>1.3026416924339062</v>
          </cell>
          <cell r="D13">
            <v>1.4215351654086268</v>
          </cell>
          <cell r="E13">
            <v>1.5502589932131432</v>
          </cell>
          <cell r="F13">
            <v>1.6892828083149825</v>
          </cell>
          <cell r="G13">
            <v>1.8390549607522584</v>
          </cell>
          <cell r="H13">
            <v>2</v>
          </cell>
          <cell r="I13">
            <v>2.1725168824763537</v>
          </cell>
          <cell r="J13">
            <v>2.3569778810041391</v>
          </cell>
        </row>
        <row r="14">
          <cell r="A14" t="str">
            <v>REAL OPTION VALUE</v>
          </cell>
          <cell r="B14">
            <v>6.4863902219186337E-2</v>
          </cell>
          <cell r="C14">
            <v>0.14154928811419976</v>
          </cell>
          <cell r="D14">
            <v>0.23241764886759797</v>
          </cell>
          <cell r="E14">
            <v>0.3346207140168172</v>
          </cell>
          <cell r="F14">
            <v>0.44718501607925448</v>
          </cell>
          <cell r="G14">
            <v>0.56981786875594709</v>
          </cell>
          <cell r="H14">
            <v>0.70251070070603727</v>
          </cell>
          <cell r="I14">
            <v>0.84538262417060916</v>
          </cell>
          <cell r="J14">
            <v>0.99861040785518929</v>
          </cell>
        </row>
        <row r="15">
          <cell r="A15" t="str">
            <v>DELTA</v>
          </cell>
          <cell r="B15">
            <v>0.40078810676330334</v>
          </cell>
          <cell r="C15">
            <v>0.41743708174535205</v>
          </cell>
          <cell r="D15">
            <v>0.43412618378359819</v>
          </cell>
          <cell r="E15">
            <v>0.45078907291174003</v>
          </cell>
          <cell r="F15">
            <v>0.46736179883489865</v>
          </cell>
          <cell r="G15">
            <v>0.48378401855956116</v>
          </cell>
          <cell r="H15">
            <v>0.5</v>
          </cell>
          <cell r="I15">
            <v>0.51595938373168659</v>
          </cell>
          <cell r="J15">
            <v>0.53161769472914411</v>
          </cell>
        </row>
      </sheetData>
      <sheetData sheetId="20">
        <row r="8">
          <cell r="B8">
            <v>0.02</v>
          </cell>
          <cell r="C8">
            <v>2.5000000000000001E-2</v>
          </cell>
          <cell r="D8">
            <v>3.0000000000000002E-2</v>
          </cell>
          <cell r="E8">
            <v>3.5000000000000003E-2</v>
          </cell>
          <cell r="F8">
            <v>0.04</v>
          </cell>
          <cell r="G8">
            <v>4.4999999999999998E-2</v>
          </cell>
          <cell r="H8">
            <v>4.9999999999999996E-2</v>
          </cell>
          <cell r="I8">
            <v>5.4999999999999993E-2</v>
          </cell>
          <cell r="J8">
            <v>5.9999999999999991E-2</v>
          </cell>
        </row>
        <row r="24">
          <cell r="A24" t="str">
            <v>ROV</v>
          </cell>
          <cell r="B24">
            <v>0.19442768285708267</v>
          </cell>
          <cell r="C24">
            <v>0.2077116735186976</v>
          </cell>
          <cell r="D24">
            <v>0.22148883734991726</v>
          </cell>
          <cell r="E24">
            <v>0.23562979124734945</v>
          </cell>
          <cell r="F24">
            <v>0.25000000000000006</v>
          </cell>
          <cell r="G24">
            <v>0.26446883388207576</v>
          </cell>
          <cell r="H24">
            <v>0.27891679653772417</v>
          </cell>
          <cell r="I24">
            <v>0.29324023055242654</v>
          </cell>
          <cell r="J24">
            <v>0.30735350239315212</v>
          </cell>
        </row>
        <row r="25">
          <cell r="A25" t="str">
            <v>ROV D</v>
          </cell>
          <cell r="B25">
            <v>0.46938994885434387</v>
          </cell>
          <cell r="C25">
            <v>0.47664160339522865</v>
          </cell>
          <cell r="D25">
            <v>0.48420575342880573</v>
          </cell>
          <cell r="E25">
            <v>0.49201561910156022</v>
          </cell>
          <cell r="F25">
            <v>0.5</v>
          </cell>
          <cell r="G25">
            <v>0.5080881639981768</v>
          </cell>
          <cell r="H25">
            <v>0.51621392416888801</v>
          </cell>
          <cell r="I25">
            <v>0.52431846950067373</v>
          </cell>
          <cell r="J25">
            <v>0.53235188202918193</v>
          </cell>
        </row>
        <row r="26">
          <cell r="A26" t="str">
            <v>ROV G</v>
          </cell>
          <cell r="B26">
            <v>0.66381763171142649</v>
          </cell>
          <cell r="C26">
            <v>0.61712079444479317</v>
          </cell>
          <cell r="D26">
            <v>0.57433613273927842</v>
          </cell>
          <cell r="E26">
            <v>0.53535603945825139</v>
          </cell>
          <cell r="F26">
            <v>0.49999999999999989</v>
          </cell>
          <cell r="G26">
            <v>0.46803283523512618</v>
          </cell>
          <cell r="H26">
            <v>0.4391850292598663</v>
          </cell>
          <cell r="I26">
            <v>0.41317178189366754</v>
          </cell>
          <cell r="J26">
            <v>0.38970862515027427</v>
          </cell>
        </row>
      </sheetData>
      <sheetData sheetId="21"/>
      <sheetData sheetId="22"/>
      <sheetData sheetId="23"/>
      <sheetData sheetId="24">
        <row r="4">
          <cell r="B4">
            <v>0</v>
          </cell>
        </row>
      </sheetData>
      <sheetData sheetId="25">
        <row r="9">
          <cell r="B9">
            <v>-0.8</v>
          </cell>
        </row>
      </sheetData>
      <sheetData sheetId="26"/>
      <sheetData sheetId="27">
        <row r="9">
          <cell r="B9">
            <v>-1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dging"/>
      <sheetName val="Strategy1"/>
      <sheetName val="Strategy2"/>
      <sheetName val="Strategy3"/>
      <sheetName val="Strategy4"/>
      <sheetName val="Strategy5"/>
      <sheetName val="CITY_SHARING"/>
      <sheetName val="SALFORD_TRI_CHANGE"/>
      <sheetName val="MARIA_EXERCISE2A"/>
    </sheetNames>
    <sheetDataSet>
      <sheetData sheetId="0">
        <row r="2">
          <cell r="A2" t="str">
            <v>OWN ASSET-DEBT</v>
          </cell>
          <cell r="B2">
            <v>-150</v>
          </cell>
          <cell r="C2">
            <v>-125</v>
          </cell>
          <cell r="D2">
            <v>-100</v>
          </cell>
          <cell r="E2">
            <v>-75</v>
          </cell>
          <cell r="F2">
            <v>-50</v>
          </cell>
          <cell r="G2">
            <v>-25</v>
          </cell>
          <cell r="H2">
            <v>0</v>
          </cell>
          <cell r="I2">
            <v>25</v>
          </cell>
          <cell r="J2">
            <v>50</v>
          </cell>
          <cell r="K2">
            <v>75</v>
          </cell>
          <cell r="L2">
            <v>100</v>
          </cell>
          <cell r="M2">
            <v>125</v>
          </cell>
          <cell r="N2">
            <v>150</v>
          </cell>
        </row>
        <row r="3">
          <cell r="A3" t="str">
            <v>SHORT FUTURES POSITION</v>
          </cell>
          <cell r="B3">
            <v>150</v>
          </cell>
          <cell r="C3">
            <v>125</v>
          </cell>
          <cell r="D3">
            <v>100</v>
          </cell>
          <cell r="E3">
            <v>75</v>
          </cell>
          <cell r="F3">
            <v>50</v>
          </cell>
          <cell r="G3">
            <v>25</v>
          </cell>
          <cell r="H3">
            <v>0</v>
          </cell>
          <cell r="I3">
            <v>-25</v>
          </cell>
          <cell r="J3">
            <v>-50</v>
          </cell>
          <cell r="K3">
            <v>-75</v>
          </cell>
          <cell r="L3">
            <v>-100</v>
          </cell>
          <cell r="M3">
            <v>-125</v>
          </cell>
          <cell r="N3">
            <v>-150</v>
          </cell>
        </row>
        <row r="4">
          <cell r="A4" t="str">
            <v>STRATEGY RESULT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</sheetData>
      <sheetData sheetId="1">
        <row r="2">
          <cell r="A2" t="str">
            <v>OWN ASSET-DEBT</v>
          </cell>
          <cell r="B2">
            <v>-150</v>
          </cell>
          <cell r="C2">
            <v>-125</v>
          </cell>
          <cell r="D2">
            <v>-100</v>
          </cell>
          <cell r="E2">
            <v>-75</v>
          </cell>
          <cell r="F2">
            <v>-50</v>
          </cell>
          <cell r="G2">
            <v>-25</v>
          </cell>
          <cell r="H2">
            <v>0</v>
          </cell>
          <cell r="I2">
            <v>25</v>
          </cell>
          <cell r="J2">
            <v>50</v>
          </cell>
          <cell r="K2">
            <v>75</v>
          </cell>
          <cell r="L2">
            <v>100</v>
          </cell>
          <cell r="M2">
            <v>125</v>
          </cell>
          <cell r="N2">
            <v>150</v>
          </cell>
        </row>
        <row r="3">
          <cell r="A3" t="str">
            <v>WRITE REAL CALL INTRINSIC</v>
          </cell>
          <cell r="B3">
            <v>25</v>
          </cell>
          <cell r="C3">
            <v>25</v>
          </cell>
          <cell r="D3">
            <v>25</v>
          </cell>
          <cell r="E3">
            <v>25</v>
          </cell>
          <cell r="F3">
            <v>25</v>
          </cell>
          <cell r="G3">
            <v>25</v>
          </cell>
          <cell r="H3">
            <v>25</v>
          </cell>
          <cell r="I3">
            <v>0</v>
          </cell>
          <cell r="J3">
            <v>-25</v>
          </cell>
          <cell r="K3">
            <v>-50</v>
          </cell>
          <cell r="L3">
            <v>-75</v>
          </cell>
          <cell r="M3">
            <v>-100</v>
          </cell>
          <cell r="N3">
            <v>-125</v>
          </cell>
        </row>
        <row r="4">
          <cell r="A4" t="str">
            <v>STRATEGY RESULT</v>
          </cell>
          <cell r="B4">
            <v>-125</v>
          </cell>
          <cell r="C4">
            <v>-100</v>
          </cell>
          <cell r="D4">
            <v>-75</v>
          </cell>
          <cell r="E4">
            <v>-50</v>
          </cell>
          <cell r="F4">
            <v>-25</v>
          </cell>
          <cell r="G4">
            <v>0</v>
          </cell>
          <cell r="H4">
            <v>25</v>
          </cell>
          <cell r="I4">
            <v>25</v>
          </cell>
          <cell r="J4">
            <v>25</v>
          </cell>
          <cell r="K4">
            <v>25</v>
          </cell>
          <cell r="L4">
            <v>25</v>
          </cell>
          <cell r="M4">
            <v>25</v>
          </cell>
          <cell r="N4">
            <v>25</v>
          </cell>
        </row>
      </sheetData>
      <sheetData sheetId="2">
        <row r="2">
          <cell r="B2">
            <v>-150</v>
          </cell>
        </row>
      </sheetData>
      <sheetData sheetId="3">
        <row r="2">
          <cell r="A2" t="str">
            <v>OWN ASSET-DEBT</v>
          </cell>
        </row>
      </sheetData>
      <sheetData sheetId="4">
        <row r="2">
          <cell r="B2">
            <v>-150</v>
          </cell>
          <cell r="C2">
            <v>-125</v>
          </cell>
          <cell r="D2">
            <v>-100</v>
          </cell>
          <cell r="E2">
            <v>-75</v>
          </cell>
          <cell r="F2">
            <v>-50</v>
          </cell>
          <cell r="G2">
            <v>-25</v>
          </cell>
          <cell r="H2">
            <v>0</v>
          </cell>
          <cell r="I2">
            <v>25</v>
          </cell>
          <cell r="J2">
            <v>50</v>
          </cell>
          <cell r="K2">
            <v>75</v>
          </cell>
          <cell r="L2">
            <v>100</v>
          </cell>
          <cell r="M2">
            <v>125</v>
          </cell>
          <cell r="N2">
            <v>150</v>
          </cell>
        </row>
        <row r="3">
          <cell r="A3" t="str">
            <v>REQUIRE USE OF NET ASSET</v>
          </cell>
          <cell r="B3">
            <v>150</v>
          </cell>
          <cell r="C3">
            <v>125</v>
          </cell>
          <cell r="D3">
            <v>100</v>
          </cell>
          <cell r="E3">
            <v>75</v>
          </cell>
          <cell r="F3">
            <v>50</v>
          </cell>
          <cell r="G3">
            <v>25</v>
          </cell>
          <cell r="H3">
            <v>0</v>
          </cell>
          <cell r="I3">
            <v>-25</v>
          </cell>
          <cell r="J3">
            <v>-50</v>
          </cell>
          <cell r="K3">
            <v>-75</v>
          </cell>
          <cell r="L3">
            <v>-100</v>
          </cell>
          <cell r="M3">
            <v>-125</v>
          </cell>
          <cell r="N3">
            <v>-150</v>
          </cell>
        </row>
        <row r="4">
          <cell r="A4" t="str">
            <v>WRITE REAL PUT INTRINSIC</v>
          </cell>
          <cell r="B4">
            <v>-125</v>
          </cell>
          <cell r="C4">
            <v>-100</v>
          </cell>
          <cell r="D4">
            <v>-75</v>
          </cell>
          <cell r="E4">
            <v>-50</v>
          </cell>
          <cell r="F4">
            <v>-25</v>
          </cell>
          <cell r="G4">
            <v>0</v>
          </cell>
          <cell r="H4">
            <v>25</v>
          </cell>
          <cell r="I4">
            <v>25</v>
          </cell>
          <cell r="J4">
            <v>25</v>
          </cell>
          <cell r="K4">
            <v>25</v>
          </cell>
          <cell r="L4">
            <v>25</v>
          </cell>
          <cell r="M4">
            <v>25</v>
          </cell>
          <cell r="N4">
            <v>25</v>
          </cell>
        </row>
        <row r="5">
          <cell r="A5" t="str">
            <v>STRATEGY RESULT</v>
          </cell>
          <cell r="B5">
            <v>25</v>
          </cell>
          <cell r="C5">
            <v>25</v>
          </cell>
          <cell r="D5">
            <v>25</v>
          </cell>
          <cell r="E5">
            <v>25</v>
          </cell>
          <cell r="F5">
            <v>25</v>
          </cell>
          <cell r="G5">
            <v>25</v>
          </cell>
          <cell r="H5">
            <v>25</v>
          </cell>
          <cell r="I5">
            <v>0</v>
          </cell>
          <cell r="J5">
            <v>-25</v>
          </cell>
          <cell r="K5">
            <v>-50</v>
          </cell>
          <cell r="L5">
            <v>-75</v>
          </cell>
          <cell r="M5">
            <v>-100</v>
          </cell>
          <cell r="N5">
            <v>-125</v>
          </cell>
        </row>
      </sheetData>
      <sheetData sheetId="5"/>
      <sheetData sheetId="6">
        <row r="9">
          <cell r="B9">
            <v>0</v>
          </cell>
          <cell r="C9">
            <v>2000</v>
          </cell>
          <cell r="D9">
            <v>4000</v>
          </cell>
          <cell r="E9">
            <v>6000</v>
          </cell>
          <cell r="F9">
            <v>8000</v>
          </cell>
          <cell r="G9">
            <v>10000</v>
          </cell>
          <cell r="H9">
            <v>12000</v>
          </cell>
          <cell r="I9">
            <v>14000</v>
          </cell>
          <cell r="J9">
            <v>16000</v>
          </cell>
          <cell r="K9">
            <v>18000</v>
          </cell>
          <cell r="L9">
            <v>20000</v>
          </cell>
          <cell r="M9">
            <v>22000</v>
          </cell>
          <cell r="N9">
            <v>24000</v>
          </cell>
          <cell r="O9">
            <v>26000</v>
          </cell>
          <cell r="P9">
            <v>28000</v>
          </cell>
          <cell r="Q9">
            <v>30000</v>
          </cell>
          <cell r="R9">
            <v>32000</v>
          </cell>
          <cell r="S9">
            <v>34000</v>
          </cell>
          <cell r="T9">
            <v>36000</v>
          </cell>
          <cell r="U9">
            <v>38000</v>
          </cell>
          <cell r="V9">
            <v>40000</v>
          </cell>
          <cell r="W9">
            <v>42000</v>
          </cell>
          <cell r="X9">
            <v>44000</v>
          </cell>
          <cell r="Y9">
            <v>46000</v>
          </cell>
          <cell r="Z9">
            <v>48000</v>
          </cell>
        </row>
        <row r="11">
          <cell r="A11" t="str">
            <v>MAN CITY</v>
          </cell>
          <cell r="B11">
            <v>-68000</v>
          </cell>
          <cell r="C11">
            <v>-28000</v>
          </cell>
          <cell r="D11">
            <v>12000</v>
          </cell>
          <cell r="E11">
            <v>52000</v>
          </cell>
          <cell r="F11">
            <v>92000</v>
          </cell>
          <cell r="G11">
            <v>132000</v>
          </cell>
          <cell r="H11">
            <v>172000</v>
          </cell>
          <cell r="I11">
            <v>212000</v>
          </cell>
          <cell r="J11">
            <v>252000</v>
          </cell>
          <cell r="K11">
            <v>292000</v>
          </cell>
          <cell r="L11">
            <v>332000</v>
          </cell>
          <cell r="M11">
            <v>372000</v>
          </cell>
          <cell r="N11">
            <v>412000</v>
          </cell>
          <cell r="O11">
            <v>452000</v>
          </cell>
          <cell r="P11">
            <v>492000</v>
          </cell>
          <cell r="Q11">
            <v>532000</v>
          </cell>
          <cell r="R11">
            <v>572000</v>
          </cell>
          <cell r="S11">
            <v>612000</v>
          </cell>
          <cell r="T11">
            <v>652000</v>
          </cell>
          <cell r="U11">
            <v>692000</v>
          </cell>
          <cell r="V11">
            <v>732000</v>
          </cell>
          <cell r="W11">
            <v>772000</v>
          </cell>
          <cell r="X11">
            <v>812000</v>
          </cell>
          <cell r="Y11">
            <v>852000</v>
          </cell>
          <cell r="Z11">
            <v>892000</v>
          </cell>
        </row>
        <row r="12">
          <cell r="A12" t="str">
            <v>COUNCIL</v>
          </cell>
          <cell r="B12">
            <v>68000</v>
          </cell>
          <cell r="C12">
            <v>68000</v>
          </cell>
          <cell r="D12">
            <v>68000</v>
          </cell>
          <cell r="E12">
            <v>68000</v>
          </cell>
          <cell r="F12">
            <v>68000</v>
          </cell>
          <cell r="G12">
            <v>68000</v>
          </cell>
          <cell r="H12">
            <v>68000</v>
          </cell>
          <cell r="I12">
            <v>68000</v>
          </cell>
          <cell r="J12">
            <v>68000</v>
          </cell>
          <cell r="K12">
            <v>68000</v>
          </cell>
          <cell r="L12">
            <v>68000</v>
          </cell>
          <cell r="M12">
            <v>68000</v>
          </cell>
          <cell r="N12">
            <v>68000</v>
          </cell>
          <cell r="O12">
            <v>68000</v>
          </cell>
          <cell r="P12">
            <v>68000</v>
          </cell>
          <cell r="Q12">
            <v>68000</v>
          </cell>
          <cell r="R12">
            <v>68000</v>
          </cell>
          <cell r="S12">
            <v>68000</v>
          </cell>
          <cell r="T12">
            <v>68000</v>
          </cell>
          <cell r="U12">
            <v>68000</v>
          </cell>
          <cell r="V12">
            <v>68000</v>
          </cell>
          <cell r="W12">
            <v>68000</v>
          </cell>
          <cell r="X12">
            <v>68000</v>
          </cell>
          <cell r="Y12">
            <v>68000</v>
          </cell>
          <cell r="Z12">
            <v>68000</v>
          </cell>
        </row>
        <row r="13">
          <cell r="A13" t="str">
            <v>MAN CITY(-)</v>
          </cell>
          <cell r="B13">
            <v>0</v>
          </cell>
          <cell r="C13">
            <v>40000</v>
          </cell>
          <cell r="D13">
            <v>80000</v>
          </cell>
          <cell r="E13">
            <v>120000</v>
          </cell>
          <cell r="F13">
            <v>160000</v>
          </cell>
          <cell r="G13">
            <v>200000</v>
          </cell>
          <cell r="H13">
            <v>240000</v>
          </cell>
          <cell r="I13">
            <v>280000</v>
          </cell>
          <cell r="J13">
            <v>320000</v>
          </cell>
          <cell r="K13">
            <v>360000</v>
          </cell>
          <cell r="L13">
            <v>400000</v>
          </cell>
          <cell r="M13">
            <v>440000</v>
          </cell>
          <cell r="N13">
            <v>480000</v>
          </cell>
          <cell r="O13">
            <v>520000</v>
          </cell>
          <cell r="P13">
            <v>560000</v>
          </cell>
          <cell r="Q13">
            <v>600000</v>
          </cell>
          <cell r="R13">
            <v>640000</v>
          </cell>
          <cell r="S13">
            <v>408000</v>
          </cell>
          <cell r="T13">
            <v>432000</v>
          </cell>
          <cell r="U13">
            <v>456000</v>
          </cell>
          <cell r="V13">
            <v>480000</v>
          </cell>
          <cell r="W13">
            <v>504000</v>
          </cell>
          <cell r="X13">
            <v>528000</v>
          </cell>
          <cell r="Y13">
            <v>552000</v>
          </cell>
          <cell r="Z13">
            <v>576000</v>
          </cell>
        </row>
        <row r="14">
          <cell r="A14" t="str">
            <v>COUNCIL(+)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272000</v>
          </cell>
          <cell r="T14">
            <v>288000</v>
          </cell>
          <cell r="U14">
            <v>304000</v>
          </cell>
          <cell r="V14">
            <v>320000</v>
          </cell>
          <cell r="W14">
            <v>336000</v>
          </cell>
          <cell r="X14">
            <v>352000</v>
          </cell>
          <cell r="Y14">
            <v>368000</v>
          </cell>
          <cell r="Z14">
            <v>384000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workbookViewId="0"/>
  </sheetViews>
  <sheetFormatPr defaultRowHeight="12.75"/>
  <cols>
    <col min="1" max="1" width="10.28515625" bestFit="1" customWidth="1"/>
    <col min="4" max="4" width="33.42578125" customWidth="1"/>
  </cols>
  <sheetData>
    <row r="1" spans="1:10" ht="15.75">
      <c r="D1" s="17" t="s">
        <v>174</v>
      </c>
      <c r="E1" s="17"/>
      <c r="F1" s="17"/>
      <c r="G1" s="17"/>
      <c r="H1" s="17"/>
      <c r="I1" s="17"/>
      <c r="J1" s="17"/>
    </row>
    <row r="3" spans="1:10">
      <c r="A3" t="s">
        <v>267</v>
      </c>
      <c r="B3" t="s">
        <v>141</v>
      </c>
      <c r="C3" t="s">
        <v>142</v>
      </c>
      <c r="D3" s="18" t="s">
        <v>192</v>
      </c>
      <c r="E3" t="s">
        <v>143</v>
      </c>
    </row>
    <row r="4" spans="1:10">
      <c r="B4" s="82">
        <v>1.1000000000000001</v>
      </c>
      <c r="C4" s="82">
        <v>5</v>
      </c>
      <c r="D4" t="s">
        <v>193</v>
      </c>
      <c r="E4" t="s">
        <v>223</v>
      </c>
    </row>
    <row r="5" spans="1:10">
      <c r="B5" s="82">
        <v>1.2</v>
      </c>
      <c r="C5" s="82">
        <v>6</v>
      </c>
      <c r="D5" t="s">
        <v>194</v>
      </c>
      <c r="E5" t="s">
        <v>224</v>
      </c>
    </row>
    <row r="6" spans="1:10">
      <c r="A6" t="s">
        <v>267</v>
      </c>
      <c r="B6" s="82"/>
      <c r="C6" s="82"/>
      <c r="D6" s="18" t="s">
        <v>195</v>
      </c>
    </row>
    <row r="7" spans="1:10">
      <c r="B7" s="82">
        <v>2.1</v>
      </c>
      <c r="C7" s="82">
        <v>14</v>
      </c>
      <c r="D7" s="85" t="s">
        <v>152</v>
      </c>
      <c r="E7" t="s">
        <v>155</v>
      </c>
    </row>
    <row r="8" spans="1:10">
      <c r="B8" s="82">
        <v>2.2000000000000002</v>
      </c>
      <c r="C8" s="82">
        <v>15</v>
      </c>
      <c r="D8" s="85" t="s">
        <v>153</v>
      </c>
      <c r="E8" t="s">
        <v>154</v>
      </c>
    </row>
    <row r="9" spans="1:10">
      <c r="B9" s="82">
        <v>2.2999999999999998</v>
      </c>
      <c r="C9" s="82">
        <v>16</v>
      </c>
      <c r="D9" t="s">
        <v>196</v>
      </c>
      <c r="E9" s="7" t="s">
        <v>197</v>
      </c>
    </row>
    <row r="10" spans="1:10">
      <c r="B10" s="82">
        <v>2.4</v>
      </c>
      <c r="C10" s="82">
        <v>18</v>
      </c>
      <c r="D10" t="s">
        <v>225</v>
      </c>
      <c r="E10" s="7" t="s">
        <v>226</v>
      </c>
    </row>
    <row r="11" spans="1:10">
      <c r="B11" s="82">
        <v>2.5</v>
      </c>
      <c r="C11" s="82">
        <v>18</v>
      </c>
      <c r="D11" t="s">
        <v>227</v>
      </c>
      <c r="E11" s="7" t="s">
        <v>228</v>
      </c>
    </row>
    <row r="12" spans="1:10">
      <c r="B12" s="82">
        <v>2.6</v>
      </c>
      <c r="C12" s="82">
        <v>19</v>
      </c>
      <c r="D12" t="s">
        <v>198</v>
      </c>
      <c r="E12" t="s">
        <v>199</v>
      </c>
    </row>
    <row r="13" spans="1:10">
      <c r="B13" s="82">
        <v>2.7</v>
      </c>
      <c r="C13" s="82">
        <v>20</v>
      </c>
      <c r="D13" t="s">
        <v>200</v>
      </c>
      <c r="E13" t="str">
        <f>E12</f>
        <v>Basic Black-Scholes</v>
      </c>
    </row>
    <row r="14" spans="1:10">
      <c r="B14" s="82">
        <v>2.8</v>
      </c>
      <c r="C14" s="82">
        <v>22</v>
      </c>
      <c r="D14" t="s">
        <v>201</v>
      </c>
      <c r="E14" t="str">
        <f>E12</f>
        <v>Basic Black-Scholes</v>
      </c>
    </row>
    <row r="15" spans="1:10">
      <c r="B15" s="82">
        <v>2.9</v>
      </c>
      <c r="C15" s="82">
        <v>23</v>
      </c>
      <c r="D15" t="s">
        <v>202</v>
      </c>
      <c r="E15" t="s">
        <v>203</v>
      </c>
    </row>
    <row r="16" spans="1:10">
      <c r="A16" s="19" t="s">
        <v>268</v>
      </c>
      <c r="B16" s="82"/>
      <c r="C16" s="82"/>
      <c r="D16" s="18" t="s">
        <v>204</v>
      </c>
    </row>
    <row r="17" spans="1:5">
      <c r="B17" s="82">
        <v>3.1</v>
      </c>
      <c r="C17" s="82">
        <v>27</v>
      </c>
      <c r="D17" t="s">
        <v>205</v>
      </c>
      <c r="E17" s="7" t="s">
        <v>206</v>
      </c>
    </row>
    <row r="18" spans="1:5">
      <c r="B18" s="82">
        <v>3.2</v>
      </c>
      <c r="C18" s="82">
        <v>29</v>
      </c>
      <c r="D18" t="s">
        <v>207</v>
      </c>
      <c r="E18" s="7" t="s">
        <v>208</v>
      </c>
    </row>
    <row r="19" spans="1:5">
      <c r="B19" s="82">
        <v>3.3</v>
      </c>
      <c r="C19" s="82">
        <v>30</v>
      </c>
      <c r="D19" t="s">
        <v>209</v>
      </c>
      <c r="E19" s="7" t="s">
        <v>210</v>
      </c>
    </row>
    <row r="20" spans="1:5">
      <c r="B20" s="82">
        <v>3.4</v>
      </c>
      <c r="C20" s="82">
        <v>30</v>
      </c>
      <c r="D20" t="s">
        <v>211</v>
      </c>
      <c r="E20" s="7" t="s">
        <v>212</v>
      </c>
    </row>
    <row r="21" spans="1:5">
      <c r="B21" s="82">
        <v>3.5</v>
      </c>
      <c r="C21" s="82">
        <v>31</v>
      </c>
      <c r="D21" t="s">
        <v>213</v>
      </c>
      <c r="E21" s="7" t="s">
        <v>214</v>
      </c>
    </row>
    <row r="22" spans="1:5">
      <c r="B22" s="82"/>
      <c r="C22" s="82"/>
      <c r="D22" s="19" t="s">
        <v>296</v>
      </c>
      <c r="E22" s="95" t="s">
        <v>297</v>
      </c>
    </row>
    <row r="23" spans="1:5">
      <c r="B23" s="82">
        <v>3.6</v>
      </c>
      <c r="C23" s="92" t="s">
        <v>175</v>
      </c>
      <c r="D23" t="s">
        <v>215</v>
      </c>
      <c r="E23" s="7" t="s">
        <v>216</v>
      </c>
    </row>
    <row r="24" spans="1:5">
      <c r="B24" s="82">
        <v>3.7</v>
      </c>
      <c r="C24" s="92" t="s">
        <v>175</v>
      </c>
      <c r="D24" t="s">
        <v>284</v>
      </c>
      <c r="E24" s="7" t="s">
        <v>282</v>
      </c>
    </row>
    <row r="25" spans="1:5">
      <c r="B25" s="82">
        <v>3.8</v>
      </c>
      <c r="C25" s="92" t="s">
        <v>175</v>
      </c>
      <c r="D25" t="s">
        <v>285</v>
      </c>
      <c r="E25" s="7" t="s">
        <v>283</v>
      </c>
    </row>
    <row r="26" spans="1:5">
      <c r="B26" s="82">
        <v>3.9</v>
      </c>
      <c r="C26" s="92" t="s">
        <v>175</v>
      </c>
      <c r="D26" t="s">
        <v>217</v>
      </c>
      <c r="E26" t="s">
        <v>229</v>
      </c>
    </row>
    <row r="27" spans="1:5">
      <c r="A27" s="19" t="s">
        <v>307</v>
      </c>
      <c r="B27" s="82"/>
      <c r="C27" s="82"/>
      <c r="D27" s="18" t="s">
        <v>218</v>
      </c>
    </row>
    <row r="28" spans="1:5">
      <c r="B28" s="82">
        <v>4.0999999999999996</v>
      </c>
      <c r="C28" s="82" t="s">
        <v>175</v>
      </c>
      <c r="D28" t="s">
        <v>219</v>
      </c>
      <c r="E28" s="7" t="s">
        <v>220</v>
      </c>
    </row>
    <row r="29" spans="1:5">
      <c r="B29" s="82">
        <v>4.2</v>
      </c>
      <c r="C29" s="82" t="s">
        <v>175</v>
      </c>
      <c r="D29" t="s">
        <v>221</v>
      </c>
      <c r="E29" t="str">
        <f>E28</f>
        <v>Real American Perpetual Call Option</v>
      </c>
    </row>
    <row r="30" spans="1:5">
      <c r="B30" s="82">
        <v>4.3</v>
      </c>
      <c r="C30" s="82" t="s">
        <v>175</v>
      </c>
      <c r="D30" t="s">
        <v>185</v>
      </c>
      <c r="E30" t="s">
        <v>230</v>
      </c>
    </row>
    <row r="31" spans="1:5">
      <c r="B31" s="82">
        <v>4.4000000000000004</v>
      </c>
      <c r="C31" s="82" t="s">
        <v>175</v>
      </c>
      <c r="D31" t="s">
        <v>222</v>
      </c>
      <c r="E31" t="s">
        <v>231</v>
      </c>
    </row>
    <row r="32" spans="1:5">
      <c r="B32" s="82">
        <v>4.5</v>
      </c>
      <c r="C32" s="82" t="s">
        <v>175</v>
      </c>
      <c r="D32" t="s">
        <v>232</v>
      </c>
      <c r="E32" t="s">
        <v>286</v>
      </c>
    </row>
    <row r="33" spans="2:2">
      <c r="B33" s="19" t="s">
        <v>308</v>
      </c>
    </row>
  </sheetData>
  <customSheetViews>
    <customSheetView guid="{5EBE86A6-E484-4409-9173-9C7E8878B5E9}" showRuler="0">
      <selection activeCell="F3" sqref="F3"/>
      <pageMargins left="0.74803149606299213" right="0.74803149606299213" top="0.49" bottom="0.12" header="0.51181102362204722" footer="0.26"/>
      <printOptions horizontalCentered="1" verticalCentered="1"/>
      <pageSetup paperSize="9" scale="80" orientation="portrait" horizontalDpi="0" verticalDpi="0" r:id="rId1"/>
      <headerFooter alignWithMargins="0"/>
    </customSheetView>
  </customSheetViews>
  <phoneticPr fontId="6" type="noConversion"/>
  <printOptions horizontalCentered="1" verticalCentered="1"/>
  <pageMargins left="0.74803149606299213" right="0.74803149606299213" top="0.47244094488188981" bottom="0.11811023622047245" header="0.51181102362204722" footer="0.27559055118110237"/>
  <pageSetup paperSize="9" scale="75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workbookViewId="0">
      <selection activeCell="B16" sqref="B16"/>
    </sheetView>
  </sheetViews>
  <sheetFormatPr defaultRowHeight="12.75"/>
  <cols>
    <col min="1" max="1" width="30.5703125" customWidth="1"/>
    <col min="2" max="2" width="38.5703125" bestFit="1" customWidth="1"/>
  </cols>
  <sheetData>
    <row r="1" spans="1:3">
      <c r="A1" s="40" t="s">
        <v>46</v>
      </c>
      <c r="B1" s="36"/>
    </row>
    <row r="2" spans="1:3">
      <c r="A2" s="7" t="s">
        <v>82</v>
      </c>
      <c r="B2" s="41">
        <v>20</v>
      </c>
    </row>
    <row r="3" spans="1:3">
      <c r="A3" s="7" t="s">
        <v>47</v>
      </c>
      <c r="B3" s="42">
        <f>((1/B6)-(1/(B6*((1+B6)^B7))))*B2</f>
        <v>82.228146470446561</v>
      </c>
    </row>
    <row r="4" spans="1:3">
      <c r="A4" s="7" t="s">
        <v>5</v>
      </c>
      <c r="B4" s="43">
        <v>100</v>
      </c>
    </row>
    <row r="5" spans="1:3">
      <c r="A5" s="7" t="s">
        <v>237</v>
      </c>
      <c r="B5" s="44">
        <v>0.05</v>
      </c>
    </row>
    <row r="6" spans="1:3">
      <c r="A6" s="7" t="s">
        <v>160</v>
      </c>
      <c r="B6" s="44">
        <v>0.12</v>
      </c>
    </row>
    <row r="7" spans="1:3">
      <c r="A7" s="7" t="s">
        <v>191</v>
      </c>
      <c r="B7" s="44">
        <v>6</v>
      </c>
    </row>
    <row r="8" spans="1:3">
      <c r="A8" s="7" t="s">
        <v>161</v>
      </c>
      <c r="B8" s="44">
        <v>1</v>
      </c>
    </row>
    <row r="9" spans="1:3">
      <c r="A9" s="7" t="s">
        <v>185</v>
      </c>
      <c r="B9" s="44">
        <v>0.45</v>
      </c>
    </row>
    <row r="10" spans="1:3" ht="18">
      <c r="A10" s="7" t="s">
        <v>236</v>
      </c>
      <c r="B10" s="45">
        <f>B3*B14-B4*B15*EXP(-B5*B8)</f>
        <v>10.143149960279853</v>
      </c>
      <c r="C10" s="46" t="s">
        <v>175</v>
      </c>
    </row>
    <row r="11" spans="1:3" ht="18">
      <c r="B11" s="47" t="s">
        <v>175</v>
      </c>
    </row>
    <row r="12" spans="1:3">
      <c r="A12" s="7" t="s">
        <v>176</v>
      </c>
      <c r="B12" s="108">
        <f>(LN(B3/B4)+(B5+B9^2/2)*B8)/(B9*SQRT(B8))</f>
        <v>-9.8716729009108245E-2</v>
      </c>
    </row>
    <row r="13" spans="1:3">
      <c r="A13" s="7" t="s">
        <v>177</v>
      </c>
      <c r="B13" s="108">
        <f>B12-B9*SQRT(B8)</f>
        <v>-0.54871672900910828</v>
      </c>
    </row>
    <row r="14" spans="1:3">
      <c r="A14" s="7" t="s">
        <v>186</v>
      </c>
      <c r="B14" s="109">
        <f>NORMSDIST(B12)</f>
        <v>0.46068159295824607</v>
      </c>
    </row>
    <row r="15" spans="1:3">
      <c r="A15" s="7" t="s">
        <v>187</v>
      </c>
      <c r="B15" s="109">
        <f>NORMSDIST(B13)</f>
        <v>0.29159993191220535</v>
      </c>
    </row>
    <row r="16" spans="1:3">
      <c r="A16" s="7" t="str">
        <f>A3</f>
        <v>ASSET  VALUE</v>
      </c>
      <c r="B16" s="110" t="s">
        <v>83</v>
      </c>
    </row>
    <row r="17" spans="1:2">
      <c r="A17" s="7" t="s">
        <v>236</v>
      </c>
      <c r="B17" s="111" t="s">
        <v>350</v>
      </c>
    </row>
    <row r="18" spans="1:2">
      <c r="A18" s="7" t="s">
        <v>176</v>
      </c>
      <c r="B18" s="112" t="s">
        <v>351</v>
      </c>
    </row>
    <row r="19" spans="1:2">
      <c r="A19" s="7" t="s">
        <v>177</v>
      </c>
      <c r="B19" s="112" t="s">
        <v>352</v>
      </c>
    </row>
    <row r="20" spans="1:2">
      <c r="A20" s="7" t="s">
        <v>186</v>
      </c>
      <c r="B20" s="113" t="s">
        <v>353</v>
      </c>
    </row>
    <row r="21" spans="1:2">
      <c r="A21" s="7" t="s">
        <v>187</v>
      </c>
      <c r="B21" s="113" t="s">
        <v>354</v>
      </c>
    </row>
    <row r="22" spans="1:2">
      <c r="A22" s="86" t="s">
        <v>162</v>
      </c>
    </row>
  </sheetData>
  <phoneticPr fontId="6" type="noConversion"/>
  <printOptions headings="1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0"/>
  <sheetViews>
    <sheetView workbookViewId="0">
      <selection activeCell="B10" sqref="B10"/>
    </sheetView>
  </sheetViews>
  <sheetFormatPr defaultRowHeight="12.75"/>
  <cols>
    <col min="1" max="2" width="25.7109375" customWidth="1"/>
  </cols>
  <sheetData>
    <row r="1" spans="1:2" ht="18">
      <c r="A1" s="48" t="s">
        <v>48</v>
      </c>
      <c r="B1" s="49"/>
    </row>
    <row r="2" spans="1:2">
      <c r="A2" s="7" t="s">
        <v>175</v>
      </c>
      <c r="B2" s="50" t="s">
        <v>85</v>
      </c>
    </row>
    <row r="3" spans="1:2">
      <c r="A3" s="7" t="s">
        <v>49</v>
      </c>
      <c r="B3" s="51">
        <v>350</v>
      </c>
    </row>
    <row r="4" spans="1:2">
      <c r="A4" s="7" t="s">
        <v>5</v>
      </c>
      <c r="B4" s="51">
        <v>320</v>
      </c>
    </row>
    <row r="5" spans="1:2">
      <c r="A5" s="7" t="s">
        <v>237</v>
      </c>
      <c r="B5" s="22">
        <v>0.06</v>
      </c>
    </row>
    <row r="6" spans="1:2">
      <c r="A6" s="7" t="s">
        <v>78</v>
      </c>
      <c r="B6" s="52">
        <v>0</v>
      </c>
    </row>
    <row r="7" spans="1:2">
      <c r="A7" s="7" t="s">
        <v>235</v>
      </c>
      <c r="B7" s="22">
        <v>5</v>
      </c>
    </row>
    <row r="8" spans="1:2">
      <c r="A8" s="7" t="s">
        <v>185</v>
      </c>
      <c r="B8" s="53">
        <f>SQRT(0.1)</f>
        <v>0.31622776601683794</v>
      </c>
    </row>
    <row r="9" spans="1:2">
      <c r="A9" s="7"/>
      <c r="B9" s="53"/>
    </row>
    <row r="10" spans="1:2">
      <c r="A10" s="7" t="s">
        <v>236</v>
      </c>
      <c r="B10" s="87">
        <f>B3*B14*EXP(-B6*B7)-B4*B15*EXP(-B5*B7)</f>
        <v>148.91853916638848</v>
      </c>
    </row>
    <row r="11" spans="1:2">
      <c r="B11" s="3"/>
    </row>
    <row r="12" spans="1:2">
      <c r="A12" s="7" t="s">
        <v>176</v>
      </c>
      <c r="B12" s="14">
        <f>(LN(B3/B4)+(B5-B6+B8^2/2)*B7)/(B8*SQRT(B7))</f>
        <v>0.90454818947768789</v>
      </c>
    </row>
    <row r="13" spans="1:2">
      <c r="A13" s="7" t="s">
        <v>177</v>
      </c>
      <c r="B13" s="14">
        <f>B12-B8*SQRT(B7)</f>
        <v>0.19744140829114032</v>
      </c>
    </row>
    <row r="14" spans="1:2">
      <c r="A14" s="7" t="s">
        <v>186</v>
      </c>
      <c r="B14" s="14">
        <f>NORMSDIST(B12)</f>
        <v>0.81714760309252743</v>
      </c>
    </row>
    <row r="15" spans="1:2">
      <c r="A15" s="7" t="s">
        <v>187</v>
      </c>
      <c r="B15" s="14">
        <f>NORMSDIST(B13)</f>
        <v>0.57825893590100741</v>
      </c>
    </row>
    <row r="17" spans="1:2" ht="15">
      <c r="A17" s="7" t="s">
        <v>50</v>
      </c>
      <c r="B17" s="54">
        <v>800</v>
      </c>
    </row>
    <row r="18" spans="1:2" ht="15">
      <c r="A18" s="7" t="s">
        <v>51</v>
      </c>
      <c r="B18" s="54">
        <v>700</v>
      </c>
    </row>
    <row r="19" spans="1:2" ht="15">
      <c r="A19" s="7" t="s">
        <v>52</v>
      </c>
      <c r="B19" s="55">
        <f>-B17+B18+B10</f>
        <v>48.918539166388484</v>
      </c>
    </row>
    <row r="20" spans="1:2" ht="15">
      <c r="A20" s="7" t="s">
        <v>16</v>
      </c>
      <c r="B20" s="55" t="s">
        <v>84</v>
      </c>
    </row>
  </sheetData>
  <phoneticPr fontId="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8"/>
  <sheetViews>
    <sheetView workbookViewId="0">
      <selection sqref="A1:C18"/>
    </sheetView>
  </sheetViews>
  <sheetFormatPr defaultRowHeight="12.75"/>
  <cols>
    <col min="1" max="1" width="31.140625" bestFit="1" customWidth="1"/>
    <col min="2" max="2" width="9.28515625" bestFit="1" customWidth="1"/>
    <col min="3" max="3" width="45.28515625" bestFit="1" customWidth="1"/>
  </cols>
  <sheetData>
    <row r="1" spans="1:3" ht="15.75">
      <c r="A1" s="56" t="s">
        <v>40</v>
      </c>
      <c r="B1" s="57"/>
      <c r="C1" s="57"/>
    </row>
    <row r="2" spans="1:3">
      <c r="A2" s="27" t="s">
        <v>175</v>
      </c>
      <c r="B2" s="11" t="s">
        <v>175</v>
      </c>
      <c r="C2" s="11"/>
    </row>
    <row r="3" spans="1:3">
      <c r="A3" s="58" t="s">
        <v>41</v>
      </c>
      <c r="B3" s="59">
        <v>100</v>
      </c>
      <c r="C3" s="11"/>
    </row>
    <row r="4" spans="1:3">
      <c r="A4" s="58" t="s">
        <v>42</v>
      </c>
      <c r="B4" s="59">
        <v>100</v>
      </c>
      <c r="C4" s="11"/>
    </row>
    <row r="5" spans="1:3">
      <c r="A5" s="58" t="s">
        <v>235</v>
      </c>
      <c r="B5" s="60">
        <v>1</v>
      </c>
      <c r="C5" s="11"/>
    </row>
    <row r="6" spans="1:3">
      <c r="A6" s="58" t="s">
        <v>43</v>
      </c>
      <c r="B6" s="60">
        <v>0.04</v>
      </c>
      <c r="C6" s="11"/>
    </row>
    <row r="7" spans="1:3">
      <c r="A7" s="58" t="s">
        <v>44</v>
      </c>
      <c r="B7" s="60">
        <v>0.04</v>
      </c>
      <c r="C7" s="11"/>
    </row>
    <row r="8" spans="1:3">
      <c r="A8" s="58" t="s">
        <v>134</v>
      </c>
      <c r="B8" s="60">
        <v>0.2</v>
      </c>
      <c r="C8" s="11"/>
    </row>
    <row r="9" spans="1:3">
      <c r="A9" s="58" t="s">
        <v>17</v>
      </c>
      <c r="B9" s="60">
        <v>0.2</v>
      </c>
      <c r="C9" s="11"/>
    </row>
    <row r="10" spans="1:3">
      <c r="A10" s="58" t="s">
        <v>45</v>
      </c>
      <c r="B10" s="61">
        <v>0.5</v>
      </c>
      <c r="C10" s="11"/>
    </row>
    <row r="11" spans="1:3">
      <c r="A11" s="58" t="s">
        <v>6</v>
      </c>
      <c r="B11" s="60">
        <f>SQRT(B8^2 + B9^2 -2*B10*B9*B8)</f>
        <v>0.2</v>
      </c>
      <c r="C11" s="60" t="s">
        <v>269</v>
      </c>
    </row>
    <row r="13" spans="1:3">
      <c r="A13" s="58" t="s">
        <v>135</v>
      </c>
      <c r="B13" s="89">
        <f>B3*B17*EXP(-B6*B5)-B4*B18*EXP(-B7*B5)</f>
        <v>7.653233088009344</v>
      </c>
      <c r="C13" s="89" t="s">
        <v>270</v>
      </c>
    </row>
    <row r="14" spans="1:3">
      <c r="A14" s="27"/>
      <c r="B14" s="8"/>
      <c r="C14" s="8"/>
    </row>
    <row r="15" spans="1:3">
      <c r="A15" s="58" t="s">
        <v>176</v>
      </c>
      <c r="B15" s="90">
        <f>(LN(B3/B4)+(B7-B6+(B11^2)/2)*B5)/(B11*SQRT(B5))</f>
        <v>0.10000000000000002</v>
      </c>
      <c r="C15" s="90" t="s">
        <v>271</v>
      </c>
    </row>
    <row r="16" spans="1:3">
      <c r="A16" s="58" t="s">
        <v>177</v>
      </c>
      <c r="B16" s="90">
        <f>B15-B11*SQRT(B5)</f>
        <v>-9.9999999999999992E-2</v>
      </c>
      <c r="C16" s="90" t="s">
        <v>272</v>
      </c>
    </row>
    <row r="17" spans="1:3">
      <c r="A17" s="58" t="s">
        <v>186</v>
      </c>
      <c r="B17" s="90">
        <f>NORMSDIST(B15)</f>
        <v>0.53982783727702899</v>
      </c>
      <c r="C17" s="90" t="s">
        <v>180</v>
      </c>
    </row>
    <row r="18" spans="1:3">
      <c r="A18" s="58" t="s">
        <v>187</v>
      </c>
      <c r="B18" s="90">
        <f>NORMSDIST(B16)</f>
        <v>0.46017216272297101</v>
      </c>
      <c r="C18" s="90" t="s">
        <v>181</v>
      </c>
    </row>
  </sheetData>
  <phoneticPr fontId="6" type="noConversion"/>
  <printOptions headings="1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3"/>
  <sheetViews>
    <sheetView topLeftCell="A18" workbookViewId="0">
      <selection activeCell="B34" sqref="B34"/>
    </sheetView>
  </sheetViews>
  <sheetFormatPr defaultRowHeight="12.75"/>
  <cols>
    <col min="1" max="1" width="27.28515625" bestFit="1" customWidth="1"/>
    <col min="2" max="14" width="5.7109375" customWidth="1"/>
  </cols>
  <sheetData>
    <row r="1" spans="1:14" ht="18">
      <c r="A1" s="49" t="s">
        <v>122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>
      <c r="A2" t="s">
        <v>49</v>
      </c>
      <c r="B2">
        <v>0</v>
      </c>
      <c r="C2">
        <f>B2+25</f>
        <v>25</v>
      </c>
      <c r="D2">
        <f t="shared" ref="D2:N2" si="0">C2+25</f>
        <v>50</v>
      </c>
      <c r="E2">
        <f t="shared" si="0"/>
        <v>75</v>
      </c>
      <c r="F2">
        <f t="shared" si="0"/>
        <v>100</v>
      </c>
      <c r="G2">
        <f t="shared" si="0"/>
        <v>125</v>
      </c>
      <c r="H2">
        <f t="shared" si="0"/>
        <v>150</v>
      </c>
      <c r="I2">
        <f t="shared" si="0"/>
        <v>175</v>
      </c>
      <c r="J2">
        <f t="shared" si="0"/>
        <v>200</v>
      </c>
      <c r="K2">
        <f t="shared" si="0"/>
        <v>225</v>
      </c>
      <c r="L2">
        <f t="shared" si="0"/>
        <v>250</v>
      </c>
      <c r="M2">
        <f t="shared" si="0"/>
        <v>275</v>
      </c>
      <c r="N2">
        <f t="shared" si="0"/>
        <v>300</v>
      </c>
    </row>
    <row r="3" spans="1:14">
      <c r="A3" t="s">
        <v>97</v>
      </c>
      <c r="B3">
        <f>0-$B$6</f>
        <v>-150</v>
      </c>
      <c r="C3">
        <f>B3+25</f>
        <v>-125</v>
      </c>
      <c r="D3">
        <f t="shared" ref="D3:N3" si="1">C3+25</f>
        <v>-100</v>
      </c>
      <c r="E3">
        <f t="shared" si="1"/>
        <v>-75</v>
      </c>
      <c r="F3">
        <f t="shared" si="1"/>
        <v>-50</v>
      </c>
      <c r="G3">
        <f t="shared" si="1"/>
        <v>-25</v>
      </c>
      <c r="H3">
        <f t="shared" si="1"/>
        <v>0</v>
      </c>
      <c r="I3">
        <f t="shared" si="1"/>
        <v>25</v>
      </c>
      <c r="J3">
        <f t="shared" si="1"/>
        <v>50</v>
      </c>
      <c r="K3">
        <f t="shared" si="1"/>
        <v>75</v>
      </c>
      <c r="L3">
        <f t="shared" si="1"/>
        <v>100</v>
      </c>
      <c r="M3">
        <f t="shared" si="1"/>
        <v>125</v>
      </c>
      <c r="N3">
        <f t="shared" si="1"/>
        <v>150</v>
      </c>
    </row>
    <row r="4" spans="1:14">
      <c r="A4" t="s">
        <v>119</v>
      </c>
      <c r="B4">
        <f t="shared" ref="B4:N4" si="2">-B3-$B$7</f>
        <v>150</v>
      </c>
      <c r="C4">
        <f t="shared" si="2"/>
        <v>125</v>
      </c>
      <c r="D4">
        <f t="shared" si="2"/>
        <v>100</v>
      </c>
      <c r="E4">
        <f t="shared" si="2"/>
        <v>75</v>
      </c>
      <c r="F4">
        <f t="shared" si="2"/>
        <v>50</v>
      </c>
      <c r="G4">
        <f t="shared" si="2"/>
        <v>25</v>
      </c>
      <c r="H4">
        <f t="shared" si="2"/>
        <v>0</v>
      </c>
      <c r="I4">
        <f t="shared" si="2"/>
        <v>-25</v>
      </c>
      <c r="J4">
        <f t="shared" si="2"/>
        <v>-50</v>
      </c>
      <c r="K4">
        <f t="shared" si="2"/>
        <v>-75</v>
      </c>
      <c r="L4">
        <f t="shared" si="2"/>
        <v>-100</v>
      </c>
      <c r="M4">
        <f t="shared" si="2"/>
        <v>-125</v>
      </c>
      <c r="N4">
        <f t="shared" si="2"/>
        <v>-150</v>
      </c>
    </row>
    <row r="5" spans="1:14">
      <c r="A5" t="s">
        <v>96</v>
      </c>
      <c r="B5">
        <f t="shared" ref="B5:N5" si="3">B3+B4</f>
        <v>0</v>
      </c>
      <c r="C5">
        <f t="shared" si="3"/>
        <v>0</v>
      </c>
      <c r="D5">
        <f t="shared" si="3"/>
        <v>0</v>
      </c>
      <c r="E5">
        <f t="shared" si="3"/>
        <v>0</v>
      </c>
      <c r="F5">
        <f t="shared" si="3"/>
        <v>0</v>
      </c>
      <c r="G5">
        <f t="shared" si="3"/>
        <v>0</v>
      </c>
      <c r="H5">
        <f t="shared" si="3"/>
        <v>0</v>
      </c>
      <c r="I5">
        <f t="shared" si="3"/>
        <v>0</v>
      </c>
      <c r="J5">
        <f t="shared" si="3"/>
        <v>0</v>
      </c>
      <c r="K5">
        <f t="shared" si="3"/>
        <v>0</v>
      </c>
      <c r="L5">
        <f t="shared" si="3"/>
        <v>0</v>
      </c>
      <c r="M5">
        <f t="shared" si="3"/>
        <v>0</v>
      </c>
      <c r="N5">
        <f t="shared" si="3"/>
        <v>0</v>
      </c>
    </row>
    <row r="6" spans="1:14">
      <c r="A6" t="s">
        <v>123</v>
      </c>
      <c r="B6">
        <v>150</v>
      </c>
      <c r="C6" t="s">
        <v>175</v>
      </c>
      <c r="D6" t="s">
        <v>175</v>
      </c>
      <c r="E6" t="str">
        <f t="shared" ref="E6:N6" si="4">D6</f>
        <v xml:space="preserve"> </v>
      </c>
      <c r="F6" t="str">
        <f t="shared" si="4"/>
        <v xml:space="preserve"> </v>
      </c>
      <c r="G6" t="str">
        <f t="shared" si="4"/>
        <v xml:space="preserve"> </v>
      </c>
      <c r="H6" t="str">
        <f t="shared" si="4"/>
        <v xml:space="preserve"> </v>
      </c>
      <c r="I6" t="str">
        <f t="shared" si="4"/>
        <v xml:space="preserve"> </v>
      </c>
      <c r="J6" t="str">
        <f t="shared" si="4"/>
        <v xml:space="preserve"> </v>
      </c>
      <c r="K6" t="str">
        <f t="shared" si="4"/>
        <v xml:space="preserve"> </v>
      </c>
      <c r="L6" t="str">
        <f t="shared" si="4"/>
        <v xml:space="preserve"> </v>
      </c>
      <c r="M6" t="str">
        <f t="shared" si="4"/>
        <v xml:space="preserve"> </v>
      </c>
      <c r="N6" t="str">
        <f t="shared" si="4"/>
        <v xml:space="preserve"> </v>
      </c>
    </row>
    <row r="7" spans="1:14">
      <c r="A7" t="s">
        <v>120</v>
      </c>
      <c r="B7">
        <f>B33</f>
        <v>0</v>
      </c>
    </row>
    <row r="8" spans="1:14">
      <c r="A8" s="62" t="s">
        <v>124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>
      <c r="A9" s="64" t="s">
        <v>121</v>
      </c>
    </row>
    <row r="10" spans="1:14">
      <c r="A10" t="str">
        <f>A4</f>
        <v>SHORT FUTURES POSITION</v>
      </c>
      <c r="B10" s="65" t="s">
        <v>183</v>
      </c>
    </row>
    <row r="11" spans="1:14">
      <c r="A11" t="s">
        <v>96</v>
      </c>
      <c r="B11" t="s">
        <v>109</v>
      </c>
    </row>
    <row r="33" spans="1:2">
      <c r="A33" t="s">
        <v>120</v>
      </c>
      <c r="B33">
        <v>0</v>
      </c>
    </row>
  </sheetData>
  <phoneticPr fontId="6" type="noConversion"/>
  <printOptions headings="1"/>
  <pageMargins left="0.75" right="0.75" top="1" bottom="1" header="0.5" footer="0.5"/>
  <pageSetup paperSize="9" scale="80" orientation="portrait" horizontalDpi="0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3"/>
  <sheetViews>
    <sheetView topLeftCell="A17" workbookViewId="0">
      <selection activeCell="B34" sqref="B34"/>
    </sheetView>
  </sheetViews>
  <sheetFormatPr defaultRowHeight="12.75"/>
  <cols>
    <col min="1" max="1" width="27.28515625" bestFit="1" customWidth="1"/>
    <col min="2" max="14" width="5.7109375" customWidth="1"/>
  </cols>
  <sheetData>
    <row r="1" spans="1:14" ht="18">
      <c r="A1" s="49" t="s">
        <v>94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>
      <c r="A2" t="s">
        <v>49</v>
      </c>
      <c r="B2">
        <v>0</v>
      </c>
      <c r="C2">
        <f>B2+25</f>
        <v>25</v>
      </c>
      <c r="D2">
        <f t="shared" ref="D2:N2" si="0">C2+25</f>
        <v>50</v>
      </c>
      <c r="E2">
        <f t="shared" si="0"/>
        <v>75</v>
      </c>
      <c r="F2">
        <f t="shared" si="0"/>
        <v>100</v>
      </c>
      <c r="G2">
        <f t="shared" si="0"/>
        <v>125</v>
      </c>
      <c r="H2">
        <f t="shared" si="0"/>
        <v>150</v>
      </c>
      <c r="I2">
        <f t="shared" si="0"/>
        <v>175</v>
      </c>
      <c r="J2">
        <f t="shared" si="0"/>
        <v>200</v>
      </c>
      <c r="K2">
        <f t="shared" si="0"/>
        <v>225</v>
      </c>
      <c r="L2">
        <f t="shared" si="0"/>
        <v>250</v>
      </c>
      <c r="M2">
        <f t="shared" si="0"/>
        <v>275</v>
      </c>
      <c r="N2">
        <f t="shared" si="0"/>
        <v>300</v>
      </c>
    </row>
    <row r="3" spans="1:14">
      <c r="A3" t="s">
        <v>97</v>
      </c>
      <c r="B3" s="66">
        <f>B2-$B$6</f>
        <v>-150</v>
      </c>
      <c r="C3" s="66">
        <f t="shared" ref="C3:N3" si="1">C2-$B$6</f>
        <v>-125</v>
      </c>
      <c r="D3" s="66">
        <f t="shared" si="1"/>
        <v>-100</v>
      </c>
      <c r="E3" s="66">
        <f t="shared" si="1"/>
        <v>-75</v>
      </c>
      <c r="F3" s="66">
        <f t="shared" si="1"/>
        <v>-50</v>
      </c>
      <c r="G3" s="66">
        <f t="shared" si="1"/>
        <v>-25</v>
      </c>
      <c r="H3" s="66">
        <f t="shared" si="1"/>
        <v>0</v>
      </c>
      <c r="I3" s="66">
        <f t="shared" si="1"/>
        <v>25</v>
      </c>
      <c r="J3" s="66">
        <f t="shared" si="1"/>
        <v>50</v>
      </c>
      <c r="K3" s="66">
        <f t="shared" si="1"/>
        <v>75</v>
      </c>
      <c r="L3" s="66">
        <f t="shared" si="1"/>
        <v>100</v>
      </c>
      <c r="M3" s="66">
        <f t="shared" si="1"/>
        <v>125</v>
      </c>
      <c r="N3" s="66">
        <f t="shared" si="1"/>
        <v>150</v>
      </c>
    </row>
    <row r="4" spans="1:14">
      <c r="A4" t="s">
        <v>98</v>
      </c>
      <c r="B4" s="66">
        <f t="shared" ref="B4:N4" si="2">IF(B3&gt;0,-B3+$B$7,$B$7)</f>
        <v>0</v>
      </c>
      <c r="C4" s="66">
        <f t="shared" si="2"/>
        <v>0</v>
      </c>
      <c r="D4" s="66">
        <f t="shared" si="2"/>
        <v>0</v>
      </c>
      <c r="E4" s="66">
        <f t="shared" si="2"/>
        <v>0</v>
      </c>
      <c r="F4" s="66">
        <f t="shared" si="2"/>
        <v>0</v>
      </c>
      <c r="G4" s="66">
        <f t="shared" si="2"/>
        <v>0</v>
      </c>
      <c r="H4" s="66">
        <f t="shared" si="2"/>
        <v>0</v>
      </c>
      <c r="I4" s="66">
        <f t="shared" si="2"/>
        <v>-25</v>
      </c>
      <c r="J4" s="66">
        <f t="shared" si="2"/>
        <v>-50</v>
      </c>
      <c r="K4" s="66">
        <f t="shared" si="2"/>
        <v>-75</v>
      </c>
      <c r="L4" s="66">
        <f t="shared" si="2"/>
        <v>-100</v>
      </c>
      <c r="M4" s="66">
        <f t="shared" si="2"/>
        <v>-125</v>
      </c>
      <c r="N4" s="66">
        <f t="shared" si="2"/>
        <v>-150</v>
      </c>
    </row>
    <row r="5" spans="1:14">
      <c r="A5" t="s">
        <v>96</v>
      </c>
      <c r="B5" s="66">
        <f t="shared" ref="B5:N5" si="3">B3+B4</f>
        <v>-150</v>
      </c>
      <c r="C5" s="66">
        <f t="shared" si="3"/>
        <v>-125</v>
      </c>
      <c r="D5" s="66">
        <f t="shared" si="3"/>
        <v>-100</v>
      </c>
      <c r="E5" s="66">
        <f t="shared" si="3"/>
        <v>-75</v>
      </c>
      <c r="F5" s="66">
        <f t="shared" si="3"/>
        <v>-50</v>
      </c>
      <c r="G5" s="66">
        <f t="shared" si="3"/>
        <v>-25</v>
      </c>
      <c r="H5" s="66">
        <f t="shared" si="3"/>
        <v>0</v>
      </c>
      <c r="I5" s="66">
        <f t="shared" si="3"/>
        <v>0</v>
      </c>
      <c r="J5" s="66">
        <f t="shared" si="3"/>
        <v>0</v>
      </c>
      <c r="K5" s="66">
        <f t="shared" si="3"/>
        <v>0</v>
      </c>
      <c r="L5" s="66">
        <f t="shared" si="3"/>
        <v>0</v>
      </c>
      <c r="M5" s="66">
        <f t="shared" si="3"/>
        <v>0</v>
      </c>
      <c r="N5" s="66">
        <f t="shared" si="3"/>
        <v>0</v>
      </c>
    </row>
    <row r="6" spans="1:14">
      <c r="A6" t="s">
        <v>123</v>
      </c>
      <c r="B6" s="66">
        <v>150</v>
      </c>
      <c r="C6" s="66" t="s">
        <v>175</v>
      </c>
      <c r="D6" s="66" t="s">
        <v>175</v>
      </c>
      <c r="E6" s="66" t="str">
        <f t="shared" ref="E6:N6" si="4">D6</f>
        <v xml:space="preserve"> </v>
      </c>
      <c r="F6" s="66" t="str">
        <f t="shared" si="4"/>
        <v xml:space="preserve"> </v>
      </c>
      <c r="G6" s="66" t="str">
        <f t="shared" si="4"/>
        <v xml:space="preserve"> </v>
      </c>
      <c r="H6" s="66" t="str">
        <f t="shared" si="4"/>
        <v xml:space="preserve"> </v>
      </c>
      <c r="I6" s="66" t="str">
        <f t="shared" si="4"/>
        <v xml:space="preserve"> </v>
      </c>
      <c r="J6" s="66" t="str">
        <f t="shared" si="4"/>
        <v xml:space="preserve"> </v>
      </c>
      <c r="K6" s="66" t="str">
        <f t="shared" si="4"/>
        <v xml:space="preserve"> </v>
      </c>
      <c r="L6" s="66" t="str">
        <f t="shared" si="4"/>
        <v xml:space="preserve"> </v>
      </c>
      <c r="M6" s="66" t="str">
        <f t="shared" si="4"/>
        <v xml:space="preserve"> </v>
      </c>
      <c r="N6" s="66" t="str">
        <f t="shared" si="4"/>
        <v xml:space="preserve"> </v>
      </c>
    </row>
    <row r="7" spans="1:14">
      <c r="A7" t="s">
        <v>95</v>
      </c>
      <c r="B7" s="66">
        <f>B33</f>
        <v>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22.5">
      <c r="A8" s="67" t="s">
        <v>125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>
      <c r="A9" s="64" t="s">
        <v>99</v>
      </c>
    </row>
    <row r="10" spans="1:14">
      <c r="A10" t="s">
        <v>98</v>
      </c>
      <c r="B10" s="66" t="s">
        <v>182</v>
      </c>
    </row>
    <row r="11" spans="1:14">
      <c r="A11" t="s">
        <v>96</v>
      </c>
      <c r="B11" s="66" t="s">
        <v>109</v>
      </c>
    </row>
    <row r="12" spans="1:14">
      <c r="A12" s="64"/>
    </row>
    <row r="33" spans="1:2">
      <c r="A33" t="s">
        <v>95</v>
      </c>
      <c r="B33">
        <v>0</v>
      </c>
    </row>
  </sheetData>
  <phoneticPr fontId="6" type="noConversion"/>
  <printOptions headings="1"/>
  <pageMargins left="0.75" right="0.75" top="1" bottom="1" header="0.5" footer="0.5"/>
  <pageSetup paperSize="9" scale="80" orientation="portrait" horizontalDpi="0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2"/>
  <sheetViews>
    <sheetView topLeftCell="A9" workbookViewId="0">
      <selection activeCell="B33" sqref="B33"/>
    </sheetView>
  </sheetViews>
  <sheetFormatPr defaultRowHeight="12.75"/>
  <cols>
    <col min="1" max="1" width="27.28515625" bestFit="1" customWidth="1"/>
    <col min="2" max="14" width="5.7109375" customWidth="1"/>
  </cols>
  <sheetData>
    <row r="1" spans="1:14" ht="18">
      <c r="A1" s="49" t="s">
        <v>94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>
      <c r="A2" t="s">
        <v>105</v>
      </c>
      <c r="B2" s="66">
        <v>-150</v>
      </c>
      <c r="C2" s="66">
        <f t="shared" ref="C2:N2" si="0">B2+25</f>
        <v>-125</v>
      </c>
      <c r="D2" s="66">
        <f t="shared" si="0"/>
        <v>-100</v>
      </c>
      <c r="E2" s="66">
        <f t="shared" si="0"/>
        <v>-75</v>
      </c>
      <c r="F2" s="66">
        <f t="shared" si="0"/>
        <v>-50</v>
      </c>
      <c r="G2" s="66">
        <f t="shared" si="0"/>
        <v>-25</v>
      </c>
      <c r="H2" s="66">
        <f t="shared" si="0"/>
        <v>0</v>
      </c>
      <c r="I2" s="66">
        <f t="shared" si="0"/>
        <v>25</v>
      </c>
      <c r="J2" s="66">
        <f t="shared" si="0"/>
        <v>50</v>
      </c>
      <c r="K2" s="66">
        <f t="shared" si="0"/>
        <v>75</v>
      </c>
      <c r="L2" s="66">
        <f t="shared" si="0"/>
        <v>100</v>
      </c>
      <c r="M2" s="66">
        <f t="shared" si="0"/>
        <v>125</v>
      </c>
      <c r="N2" s="66">
        <f t="shared" si="0"/>
        <v>150</v>
      </c>
    </row>
    <row r="3" spans="1:14">
      <c r="A3" t="s">
        <v>106</v>
      </c>
      <c r="B3" s="66">
        <f t="shared" ref="B3:N3" si="1">-B2</f>
        <v>150</v>
      </c>
      <c r="C3" s="66">
        <f t="shared" si="1"/>
        <v>125</v>
      </c>
      <c r="D3" s="66">
        <f t="shared" si="1"/>
        <v>100</v>
      </c>
      <c r="E3" s="66">
        <f t="shared" si="1"/>
        <v>75</v>
      </c>
      <c r="F3" s="66">
        <f t="shared" si="1"/>
        <v>50</v>
      </c>
      <c r="G3" s="66">
        <f t="shared" si="1"/>
        <v>25</v>
      </c>
      <c r="H3" s="66">
        <f t="shared" si="1"/>
        <v>0</v>
      </c>
      <c r="I3" s="66">
        <f t="shared" si="1"/>
        <v>-25</v>
      </c>
      <c r="J3" s="66">
        <f t="shared" si="1"/>
        <v>-50</v>
      </c>
      <c r="K3" s="66">
        <f t="shared" si="1"/>
        <v>-75</v>
      </c>
      <c r="L3" s="66">
        <f t="shared" si="1"/>
        <v>-100</v>
      </c>
      <c r="M3" s="66">
        <f t="shared" si="1"/>
        <v>-125</v>
      </c>
      <c r="N3" s="66">
        <f t="shared" si="1"/>
        <v>-150</v>
      </c>
    </row>
    <row r="4" spans="1:14">
      <c r="A4" t="s">
        <v>104</v>
      </c>
      <c r="B4" s="66">
        <f t="shared" ref="B4:N4" si="2">IF(B2&gt;0,B2-$B$7,-$B$7)</f>
        <v>-25</v>
      </c>
      <c r="C4" s="66">
        <f t="shared" si="2"/>
        <v>-25</v>
      </c>
      <c r="D4" s="66">
        <f t="shared" si="2"/>
        <v>-25</v>
      </c>
      <c r="E4" s="66">
        <f t="shared" si="2"/>
        <v>-25</v>
      </c>
      <c r="F4" s="66">
        <f t="shared" si="2"/>
        <v>-25</v>
      </c>
      <c r="G4" s="66">
        <f t="shared" si="2"/>
        <v>-25</v>
      </c>
      <c r="H4" s="66">
        <f t="shared" si="2"/>
        <v>-25</v>
      </c>
      <c r="I4" s="66">
        <f t="shared" si="2"/>
        <v>0</v>
      </c>
      <c r="J4" s="66">
        <f t="shared" si="2"/>
        <v>25</v>
      </c>
      <c r="K4" s="66">
        <f t="shared" si="2"/>
        <v>50</v>
      </c>
      <c r="L4" s="66">
        <f t="shared" si="2"/>
        <v>75</v>
      </c>
      <c r="M4" s="66">
        <f t="shared" si="2"/>
        <v>100</v>
      </c>
      <c r="N4" s="66">
        <f t="shared" si="2"/>
        <v>125</v>
      </c>
    </row>
    <row r="5" spans="1:14">
      <c r="A5" t="s">
        <v>96</v>
      </c>
      <c r="B5" s="66">
        <f t="shared" ref="B5:N5" si="3">B3+B4</f>
        <v>125</v>
      </c>
      <c r="C5" s="66">
        <f t="shared" si="3"/>
        <v>100</v>
      </c>
      <c r="D5" s="66">
        <f t="shared" si="3"/>
        <v>75</v>
      </c>
      <c r="E5" s="66">
        <f t="shared" si="3"/>
        <v>50</v>
      </c>
      <c r="F5" s="66">
        <f t="shared" si="3"/>
        <v>25</v>
      </c>
      <c r="G5" s="66">
        <f t="shared" si="3"/>
        <v>0</v>
      </c>
      <c r="H5" s="66">
        <f t="shared" si="3"/>
        <v>-25</v>
      </c>
      <c r="I5" s="66">
        <f t="shared" si="3"/>
        <v>-25</v>
      </c>
      <c r="J5" s="66">
        <f t="shared" si="3"/>
        <v>-25</v>
      </c>
      <c r="K5" s="66">
        <f t="shared" si="3"/>
        <v>-25</v>
      </c>
      <c r="L5" s="66">
        <f t="shared" si="3"/>
        <v>-25</v>
      </c>
      <c r="M5" s="66">
        <f t="shared" si="3"/>
        <v>-25</v>
      </c>
      <c r="N5" s="66">
        <f t="shared" si="3"/>
        <v>-25</v>
      </c>
    </row>
    <row r="6" spans="1:14">
      <c r="A6" t="s">
        <v>123</v>
      </c>
      <c r="B6" s="66">
        <v>150</v>
      </c>
      <c r="C6" s="66" t="s">
        <v>175</v>
      </c>
      <c r="D6" s="66" t="s">
        <v>175</v>
      </c>
      <c r="E6" s="66" t="str">
        <f t="shared" ref="E6:N6" si="4">D6</f>
        <v xml:space="preserve"> </v>
      </c>
      <c r="F6" s="66" t="str">
        <f t="shared" si="4"/>
        <v xml:space="preserve"> </v>
      </c>
      <c r="G6" s="66" t="str">
        <f t="shared" si="4"/>
        <v xml:space="preserve"> </v>
      </c>
      <c r="H6" s="66" t="str">
        <f t="shared" si="4"/>
        <v xml:space="preserve"> </v>
      </c>
      <c r="I6" s="66" t="str">
        <f t="shared" si="4"/>
        <v xml:space="preserve"> </v>
      </c>
      <c r="J6" s="66" t="str">
        <f t="shared" si="4"/>
        <v xml:space="preserve"> </v>
      </c>
      <c r="K6" s="66" t="str">
        <f t="shared" si="4"/>
        <v xml:space="preserve"> </v>
      </c>
      <c r="L6" s="66" t="str">
        <f t="shared" si="4"/>
        <v xml:space="preserve"> </v>
      </c>
      <c r="M6" s="66" t="str">
        <f t="shared" si="4"/>
        <v xml:space="preserve"> </v>
      </c>
      <c r="N6" s="66" t="str">
        <f t="shared" si="4"/>
        <v xml:space="preserve"> </v>
      </c>
    </row>
    <row r="7" spans="1:14">
      <c r="A7" t="s">
        <v>95</v>
      </c>
      <c r="B7" s="66">
        <f>B32</f>
        <v>25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22.5">
      <c r="A8" s="67" t="s">
        <v>126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>
      <c r="A9" s="64" t="s">
        <v>107</v>
      </c>
    </row>
    <row r="10" spans="1:14">
      <c r="A10" t="str">
        <f>A4</f>
        <v>BUY REAL CALL INTRINSIC</v>
      </c>
      <c r="B10" t="s">
        <v>108</v>
      </c>
    </row>
    <row r="11" spans="1:14">
      <c r="A11" t="s">
        <v>96</v>
      </c>
      <c r="B11" t="s">
        <v>109</v>
      </c>
    </row>
    <row r="12" spans="1:14">
      <c r="A12" s="64"/>
    </row>
    <row r="32" spans="1:2">
      <c r="A32" t="s">
        <v>95</v>
      </c>
      <c r="B32">
        <v>25</v>
      </c>
    </row>
  </sheetData>
  <phoneticPr fontId="6" type="noConversion"/>
  <printOptions headings="1"/>
  <pageMargins left="0.75" right="0.75" top="1" bottom="1" header="0.5" footer="0.5"/>
  <pageSetup paperSize="9" scale="8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2"/>
  <sheetViews>
    <sheetView topLeftCell="A11" workbookViewId="0">
      <selection activeCell="B33" sqref="B33"/>
    </sheetView>
  </sheetViews>
  <sheetFormatPr defaultRowHeight="12.75"/>
  <cols>
    <col min="1" max="1" width="27.28515625" bestFit="1" customWidth="1"/>
    <col min="2" max="14" width="5.7109375" customWidth="1"/>
  </cols>
  <sheetData>
    <row r="1" spans="1:14" ht="18">
      <c r="A1" s="49" t="s">
        <v>94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>
      <c r="A2" t="s">
        <v>97</v>
      </c>
      <c r="B2">
        <f>0-$B$5</f>
        <v>-150</v>
      </c>
      <c r="C2">
        <f>B2+25</f>
        <v>-125</v>
      </c>
      <c r="D2">
        <f t="shared" ref="D2:N2" si="0">C2+25</f>
        <v>-100</v>
      </c>
      <c r="E2">
        <f t="shared" si="0"/>
        <v>-75</v>
      </c>
      <c r="F2">
        <f t="shared" si="0"/>
        <v>-50</v>
      </c>
      <c r="G2">
        <f t="shared" si="0"/>
        <v>-25</v>
      </c>
      <c r="H2">
        <f t="shared" si="0"/>
        <v>0</v>
      </c>
      <c r="I2">
        <f t="shared" si="0"/>
        <v>25</v>
      </c>
      <c r="J2">
        <f t="shared" si="0"/>
        <v>50</v>
      </c>
      <c r="K2">
        <f t="shared" si="0"/>
        <v>75</v>
      </c>
      <c r="L2">
        <f t="shared" si="0"/>
        <v>100</v>
      </c>
      <c r="M2">
        <f t="shared" si="0"/>
        <v>125</v>
      </c>
      <c r="N2">
        <f t="shared" si="0"/>
        <v>150</v>
      </c>
    </row>
    <row r="3" spans="1:14">
      <c r="A3" t="s">
        <v>101</v>
      </c>
      <c r="B3">
        <f>IF(B2&lt;0,-B2-$B$6,-$B$6)</f>
        <v>140</v>
      </c>
      <c r="C3">
        <f t="shared" ref="C3:N3" si="1">IF(C2&lt;0,-C2-$B$6,-$B$6)</f>
        <v>115</v>
      </c>
      <c r="D3">
        <f t="shared" si="1"/>
        <v>90</v>
      </c>
      <c r="E3">
        <f t="shared" si="1"/>
        <v>65</v>
      </c>
      <c r="F3">
        <f t="shared" si="1"/>
        <v>40</v>
      </c>
      <c r="G3">
        <f t="shared" si="1"/>
        <v>15</v>
      </c>
      <c r="H3">
        <f t="shared" si="1"/>
        <v>-10</v>
      </c>
      <c r="I3">
        <f t="shared" si="1"/>
        <v>-10</v>
      </c>
      <c r="J3">
        <f t="shared" si="1"/>
        <v>-10</v>
      </c>
      <c r="K3">
        <f t="shared" si="1"/>
        <v>-10</v>
      </c>
      <c r="L3">
        <f t="shared" si="1"/>
        <v>-10</v>
      </c>
      <c r="M3">
        <f t="shared" si="1"/>
        <v>-10</v>
      </c>
      <c r="N3">
        <f t="shared" si="1"/>
        <v>-10</v>
      </c>
    </row>
    <row r="4" spans="1:14">
      <c r="A4" t="s">
        <v>96</v>
      </c>
      <c r="B4">
        <f>B3+B2</f>
        <v>-10</v>
      </c>
      <c r="C4">
        <f t="shared" ref="C4:N4" si="2">C3+C2</f>
        <v>-10</v>
      </c>
      <c r="D4">
        <f t="shared" si="2"/>
        <v>-10</v>
      </c>
      <c r="E4">
        <f t="shared" si="2"/>
        <v>-10</v>
      </c>
      <c r="F4">
        <f t="shared" si="2"/>
        <v>-10</v>
      </c>
      <c r="G4">
        <f t="shared" si="2"/>
        <v>-10</v>
      </c>
      <c r="H4">
        <f t="shared" si="2"/>
        <v>-10</v>
      </c>
      <c r="I4">
        <f t="shared" si="2"/>
        <v>15</v>
      </c>
      <c r="J4">
        <f t="shared" si="2"/>
        <v>40</v>
      </c>
      <c r="K4">
        <f t="shared" si="2"/>
        <v>65</v>
      </c>
      <c r="L4">
        <f t="shared" si="2"/>
        <v>90</v>
      </c>
      <c r="M4">
        <f t="shared" si="2"/>
        <v>115</v>
      </c>
      <c r="N4">
        <f t="shared" si="2"/>
        <v>140</v>
      </c>
    </row>
    <row r="5" spans="1:14">
      <c r="A5" t="s">
        <v>123</v>
      </c>
      <c r="B5">
        <v>150</v>
      </c>
      <c r="C5" t="s">
        <v>175</v>
      </c>
      <c r="D5" t="s">
        <v>175</v>
      </c>
      <c r="E5" t="str">
        <f t="shared" ref="E5:N5" si="3">D5</f>
        <v xml:space="preserve"> </v>
      </c>
      <c r="F5" t="str">
        <f t="shared" si="3"/>
        <v xml:space="preserve"> </v>
      </c>
      <c r="G5" t="str">
        <f t="shared" si="3"/>
        <v xml:space="preserve"> </v>
      </c>
      <c r="H5" t="str">
        <f t="shared" si="3"/>
        <v xml:space="preserve"> </v>
      </c>
      <c r="I5" t="str">
        <f t="shared" si="3"/>
        <v xml:space="preserve"> </v>
      </c>
      <c r="J5" t="str">
        <f t="shared" si="3"/>
        <v xml:space="preserve"> </v>
      </c>
      <c r="K5" t="str">
        <f t="shared" si="3"/>
        <v xml:space="preserve"> </v>
      </c>
      <c r="L5" t="str">
        <f t="shared" si="3"/>
        <v xml:space="preserve"> </v>
      </c>
      <c r="M5" t="str">
        <f t="shared" si="3"/>
        <v xml:space="preserve"> </v>
      </c>
      <c r="N5" t="str">
        <f t="shared" si="3"/>
        <v xml:space="preserve"> </v>
      </c>
    </row>
    <row r="6" spans="1:14">
      <c r="A6" t="s">
        <v>95</v>
      </c>
      <c r="B6">
        <v>10</v>
      </c>
    </row>
    <row r="7" spans="1:14">
      <c r="A7" s="62" t="s">
        <v>127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>
      <c r="A8" s="64" t="s">
        <v>102</v>
      </c>
    </row>
    <row r="9" spans="1:14">
      <c r="A9" t="str">
        <f>A3</f>
        <v>BUY REAL PUT INTRINSIC</v>
      </c>
      <c r="B9" t="s">
        <v>103</v>
      </c>
    </row>
    <row r="10" spans="1:14">
      <c r="A10" t="str">
        <f>A4</f>
        <v>STRATEGY RESULT</v>
      </c>
      <c r="B10" t="s">
        <v>100</v>
      </c>
    </row>
    <row r="32" spans="1:2">
      <c r="A32" t="s">
        <v>95</v>
      </c>
      <c r="B32">
        <v>25</v>
      </c>
    </row>
  </sheetData>
  <phoneticPr fontId="6" type="noConversion"/>
  <printOptions horizontalCentered="1" headings="1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2"/>
  <sheetViews>
    <sheetView topLeftCell="A13" workbookViewId="0">
      <selection activeCell="B33" sqref="B33"/>
    </sheetView>
  </sheetViews>
  <sheetFormatPr defaultRowHeight="12.75"/>
  <cols>
    <col min="1" max="1" width="27.28515625" bestFit="1" customWidth="1"/>
    <col min="2" max="14" width="5.7109375" customWidth="1"/>
  </cols>
  <sheetData>
    <row r="1" spans="1:14" ht="18">
      <c r="A1" s="49" t="s">
        <v>94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>
      <c r="A2" t="s">
        <v>105</v>
      </c>
      <c r="B2">
        <f>0-$B$6</f>
        <v>-150</v>
      </c>
      <c r="C2">
        <f>B2+25</f>
        <v>-125</v>
      </c>
      <c r="D2">
        <f t="shared" ref="D2:N2" si="0">C2+25</f>
        <v>-100</v>
      </c>
      <c r="E2">
        <f t="shared" si="0"/>
        <v>-75</v>
      </c>
      <c r="F2">
        <f t="shared" si="0"/>
        <v>-50</v>
      </c>
      <c r="G2">
        <f t="shared" si="0"/>
        <v>-25</v>
      </c>
      <c r="H2">
        <f t="shared" si="0"/>
        <v>0</v>
      </c>
      <c r="I2">
        <f t="shared" si="0"/>
        <v>25</v>
      </c>
      <c r="J2">
        <f t="shared" si="0"/>
        <v>50</v>
      </c>
      <c r="K2">
        <f t="shared" si="0"/>
        <v>75</v>
      </c>
      <c r="L2">
        <f t="shared" si="0"/>
        <v>100</v>
      </c>
      <c r="M2">
        <f t="shared" si="0"/>
        <v>125</v>
      </c>
      <c r="N2">
        <f t="shared" si="0"/>
        <v>150</v>
      </c>
    </row>
    <row r="3" spans="1:14">
      <c r="A3" t="s">
        <v>106</v>
      </c>
      <c r="B3">
        <f>-B2</f>
        <v>150</v>
      </c>
      <c r="C3">
        <f t="shared" ref="C3:N3" si="1">-C2</f>
        <v>125</v>
      </c>
      <c r="D3">
        <f t="shared" si="1"/>
        <v>100</v>
      </c>
      <c r="E3">
        <f t="shared" si="1"/>
        <v>75</v>
      </c>
      <c r="F3">
        <f t="shared" si="1"/>
        <v>50</v>
      </c>
      <c r="G3">
        <f t="shared" si="1"/>
        <v>25</v>
      </c>
      <c r="H3">
        <f t="shared" si="1"/>
        <v>0</v>
      </c>
      <c r="I3">
        <f t="shared" si="1"/>
        <v>-25</v>
      </c>
      <c r="J3">
        <f t="shared" si="1"/>
        <v>-50</v>
      </c>
      <c r="K3">
        <f t="shared" si="1"/>
        <v>-75</v>
      </c>
      <c r="L3">
        <f t="shared" si="1"/>
        <v>-100</v>
      </c>
      <c r="M3">
        <f t="shared" si="1"/>
        <v>-125</v>
      </c>
      <c r="N3">
        <f t="shared" si="1"/>
        <v>-150</v>
      </c>
    </row>
    <row r="4" spans="1:14">
      <c r="A4" t="s">
        <v>110</v>
      </c>
      <c r="B4">
        <f>IF(B2&lt;0,B2+$B$7,$B$7)</f>
        <v>-125</v>
      </c>
      <c r="C4">
        <f t="shared" ref="C4:N4" si="2">IF(C2&lt;0,C2+$B$7,$B$7)</f>
        <v>-100</v>
      </c>
      <c r="D4">
        <f t="shared" si="2"/>
        <v>-75</v>
      </c>
      <c r="E4">
        <f t="shared" si="2"/>
        <v>-50</v>
      </c>
      <c r="F4">
        <f t="shared" si="2"/>
        <v>-25</v>
      </c>
      <c r="G4">
        <f t="shared" si="2"/>
        <v>0</v>
      </c>
      <c r="H4">
        <f t="shared" si="2"/>
        <v>25</v>
      </c>
      <c r="I4">
        <f t="shared" si="2"/>
        <v>25</v>
      </c>
      <c r="J4">
        <f t="shared" si="2"/>
        <v>25</v>
      </c>
      <c r="K4">
        <f t="shared" si="2"/>
        <v>25</v>
      </c>
      <c r="L4">
        <f t="shared" si="2"/>
        <v>25</v>
      </c>
      <c r="M4">
        <f t="shared" si="2"/>
        <v>25</v>
      </c>
      <c r="N4">
        <f t="shared" si="2"/>
        <v>25</v>
      </c>
    </row>
    <row r="5" spans="1:14">
      <c r="A5" t="s">
        <v>96</v>
      </c>
      <c r="B5">
        <f>B3+B4</f>
        <v>25</v>
      </c>
      <c r="C5">
        <f t="shared" ref="C5:N5" si="3">C3+C4</f>
        <v>25</v>
      </c>
      <c r="D5">
        <f t="shared" si="3"/>
        <v>25</v>
      </c>
      <c r="E5">
        <f t="shared" si="3"/>
        <v>25</v>
      </c>
      <c r="F5">
        <f t="shared" si="3"/>
        <v>25</v>
      </c>
      <c r="G5">
        <f t="shared" si="3"/>
        <v>25</v>
      </c>
      <c r="H5">
        <f t="shared" si="3"/>
        <v>25</v>
      </c>
      <c r="I5">
        <f t="shared" si="3"/>
        <v>0</v>
      </c>
      <c r="J5">
        <f t="shared" si="3"/>
        <v>-25</v>
      </c>
      <c r="K5">
        <f t="shared" si="3"/>
        <v>-50</v>
      </c>
      <c r="L5">
        <f t="shared" si="3"/>
        <v>-75</v>
      </c>
      <c r="M5">
        <f t="shared" si="3"/>
        <v>-100</v>
      </c>
      <c r="N5">
        <f t="shared" si="3"/>
        <v>-125</v>
      </c>
    </row>
    <row r="6" spans="1:14">
      <c r="A6" t="s">
        <v>123</v>
      </c>
      <c r="B6">
        <v>150</v>
      </c>
      <c r="C6" t="s">
        <v>175</v>
      </c>
      <c r="D6" t="s">
        <v>175</v>
      </c>
      <c r="E6" t="str">
        <f t="shared" ref="E6:N6" si="4">D6</f>
        <v xml:space="preserve"> </v>
      </c>
      <c r="F6" t="str">
        <f t="shared" si="4"/>
        <v xml:space="preserve"> </v>
      </c>
      <c r="G6" t="str">
        <f t="shared" si="4"/>
        <v xml:space="preserve"> </v>
      </c>
      <c r="H6" t="str">
        <f t="shared" si="4"/>
        <v xml:space="preserve"> </v>
      </c>
      <c r="I6" t="str">
        <f t="shared" si="4"/>
        <v xml:space="preserve"> </v>
      </c>
      <c r="J6" t="str">
        <f t="shared" si="4"/>
        <v xml:space="preserve"> </v>
      </c>
      <c r="K6" t="str">
        <f t="shared" si="4"/>
        <v xml:space="preserve"> </v>
      </c>
      <c r="L6" t="str">
        <f t="shared" si="4"/>
        <v xml:space="preserve"> </v>
      </c>
      <c r="M6" t="str">
        <f t="shared" si="4"/>
        <v xml:space="preserve"> </v>
      </c>
      <c r="N6" t="str">
        <f t="shared" si="4"/>
        <v xml:space="preserve"> </v>
      </c>
    </row>
    <row r="7" spans="1:14">
      <c r="A7" t="s">
        <v>95</v>
      </c>
      <c r="B7">
        <f>B32</f>
        <v>25</v>
      </c>
    </row>
    <row r="8" spans="1:14" ht="22.5">
      <c r="A8" s="67" t="s">
        <v>128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>
      <c r="A9" s="64" t="s">
        <v>112</v>
      </c>
    </row>
    <row r="10" spans="1:14">
      <c r="A10" t="str">
        <f>A4</f>
        <v>WRITE REAL PUT INTRINSIC</v>
      </c>
      <c r="B10" t="s">
        <v>111</v>
      </c>
    </row>
    <row r="11" spans="1:14">
      <c r="A11" t="s">
        <v>96</v>
      </c>
      <c r="B11" t="s">
        <v>109</v>
      </c>
    </row>
    <row r="32" spans="1:2">
      <c r="A32" t="s">
        <v>95</v>
      </c>
      <c r="B32">
        <v>25</v>
      </c>
    </row>
  </sheetData>
  <phoneticPr fontId="6" type="noConversion"/>
  <printOptions headings="1"/>
  <pageMargins left="0.75" right="0.75" top="1" bottom="1" header="0.5" footer="0.5"/>
  <pageSetup paperSize="9" scale="80" orientation="portrait" horizontalDpi="0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16"/>
  <sheetViews>
    <sheetView topLeftCell="A46" workbookViewId="0">
      <selection activeCell="A70" sqref="A70"/>
    </sheetView>
  </sheetViews>
  <sheetFormatPr defaultRowHeight="12.75"/>
  <cols>
    <col min="1" max="1" width="33.85546875" bestFit="1" customWidth="1"/>
    <col min="3" max="4" width="4.5703125" customWidth="1"/>
    <col min="5" max="5" width="3.5703125" customWidth="1"/>
    <col min="6" max="13" width="4" customWidth="1"/>
    <col min="14" max="14" width="4.5703125" customWidth="1"/>
  </cols>
  <sheetData>
    <row r="1" spans="1:14" ht="18">
      <c r="A1" s="49" t="s">
        <v>94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>
      <c r="A2" t="s">
        <v>97</v>
      </c>
      <c r="B2" s="94">
        <f>B6-$B$9</f>
        <v>-150</v>
      </c>
      <c r="C2" s="66">
        <f t="shared" ref="C2:N2" si="0">C6-$B$9</f>
        <v>-125</v>
      </c>
      <c r="D2" s="66">
        <f t="shared" si="0"/>
        <v>-100</v>
      </c>
      <c r="E2" s="66">
        <f t="shared" si="0"/>
        <v>-75</v>
      </c>
      <c r="F2" s="66">
        <f t="shared" si="0"/>
        <v>-50</v>
      </c>
      <c r="G2" s="66">
        <f t="shared" si="0"/>
        <v>-25</v>
      </c>
      <c r="H2" s="94">
        <f t="shared" si="0"/>
        <v>0</v>
      </c>
      <c r="I2" s="66">
        <f t="shared" si="0"/>
        <v>25</v>
      </c>
      <c r="J2" s="66">
        <f t="shared" si="0"/>
        <v>50</v>
      </c>
      <c r="K2" s="66">
        <f t="shared" si="0"/>
        <v>75</v>
      </c>
      <c r="L2" s="66">
        <f t="shared" si="0"/>
        <v>100</v>
      </c>
      <c r="M2" s="66">
        <f t="shared" si="0"/>
        <v>125</v>
      </c>
      <c r="N2" s="94">
        <f t="shared" si="0"/>
        <v>150</v>
      </c>
    </row>
    <row r="3" spans="1:14">
      <c r="A3" t="s">
        <v>96</v>
      </c>
      <c r="B3" s="94">
        <f>B2+B4+B5</f>
        <v>15</v>
      </c>
      <c r="C3" s="66">
        <f t="shared" ref="C3:N3" si="1">C2+C4+C5</f>
        <v>15</v>
      </c>
      <c r="D3" s="66">
        <f t="shared" si="1"/>
        <v>15</v>
      </c>
      <c r="E3" s="66">
        <f t="shared" si="1"/>
        <v>15</v>
      </c>
      <c r="F3" s="66">
        <f t="shared" si="1"/>
        <v>15</v>
      </c>
      <c r="G3" s="66">
        <f t="shared" si="1"/>
        <v>15</v>
      </c>
      <c r="H3" s="94">
        <f t="shared" si="1"/>
        <v>15</v>
      </c>
      <c r="I3" s="66">
        <f t="shared" si="1"/>
        <v>40</v>
      </c>
      <c r="J3" s="66">
        <f t="shared" si="1"/>
        <v>40</v>
      </c>
      <c r="K3" s="66">
        <f t="shared" si="1"/>
        <v>40</v>
      </c>
      <c r="L3" s="66">
        <f t="shared" si="1"/>
        <v>40</v>
      </c>
      <c r="M3" s="66">
        <f t="shared" si="1"/>
        <v>40</v>
      </c>
      <c r="N3" s="94">
        <f t="shared" si="1"/>
        <v>40</v>
      </c>
    </row>
    <row r="4" spans="1:14">
      <c r="A4" s="19" t="s">
        <v>291</v>
      </c>
      <c r="B4" s="94">
        <f>IF(B2&gt;$B$7,$B$7-B2+$B$10,$B$10)</f>
        <v>25</v>
      </c>
      <c r="C4" s="66">
        <f t="shared" ref="C4:L4" si="2">IF(C2&gt;$B$7,$B$7-C2+$B$10,$B$10)</f>
        <v>25</v>
      </c>
      <c r="D4" s="66">
        <f t="shared" si="2"/>
        <v>25</v>
      </c>
      <c r="E4" s="66">
        <f t="shared" si="2"/>
        <v>25</v>
      </c>
      <c r="F4" s="66">
        <f t="shared" si="2"/>
        <v>25</v>
      </c>
      <c r="G4" s="66">
        <f t="shared" si="2"/>
        <v>25</v>
      </c>
      <c r="H4" s="94">
        <f t="shared" si="2"/>
        <v>25</v>
      </c>
      <c r="I4" s="66">
        <f t="shared" si="2"/>
        <v>25</v>
      </c>
      <c r="J4" s="66">
        <f t="shared" si="2"/>
        <v>0</v>
      </c>
      <c r="K4" s="66">
        <f t="shared" si="2"/>
        <v>-25</v>
      </c>
      <c r="L4" s="66">
        <f t="shared" si="2"/>
        <v>-50</v>
      </c>
      <c r="M4" s="66">
        <f>IF(M2&gt;$B$7,$B$7-M2+$B$10,$B$10)</f>
        <v>-75</v>
      </c>
      <c r="N4" s="94">
        <f>IF(N2&gt;$B$7,$B$7-N2+$B$10,$B$10)</f>
        <v>-100</v>
      </c>
    </row>
    <row r="5" spans="1:14">
      <c r="A5" s="19" t="s">
        <v>292</v>
      </c>
      <c r="B5" s="94">
        <f>IF(B2&lt;$B$8,-B2-$B$8-$B$11,-$B$11)</f>
        <v>140</v>
      </c>
      <c r="C5" s="66">
        <f t="shared" ref="C5:L5" si="3">IF(C2&lt;$B$8,-C2-$B$8-$B$11,-$B$11)</f>
        <v>115</v>
      </c>
      <c r="D5" s="66">
        <f t="shared" si="3"/>
        <v>90</v>
      </c>
      <c r="E5" s="66">
        <f t="shared" si="3"/>
        <v>65</v>
      </c>
      <c r="F5" s="66">
        <f t="shared" si="3"/>
        <v>40</v>
      </c>
      <c r="G5" s="66">
        <f t="shared" si="3"/>
        <v>15</v>
      </c>
      <c r="H5" s="94">
        <f t="shared" si="3"/>
        <v>-10</v>
      </c>
      <c r="I5" s="66">
        <f t="shared" si="3"/>
        <v>-10</v>
      </c>
      <c r="J5" s="66">
        <f t="shared" si="3"/>
        <v>-10</v>
      </c>
      <c r="K5" s="66">
        <f t="shared" si="3"/>
        <v>-10</v>
      </c>
      <c r="L5" s="66">
        <f t="shared" si="3"/>
        <v>-10</v>
      </c>
      <c r="M5" s="66">
        <f>IF(M2&lt;$B$8,-M2-$B$8-$B$11,-$B$11)</f>
        <v>-10</v>
      </c>
      <c r="N5" s="94">
        <f>IF(N2&lt;$B$8,-N2-$B$8-$B$11,-$B$11)</f>
        <v>-10</v>
      </c>
    </row>
    <row r="6" spans="1:14">
      <c r="A6" s="19" t="s">
        <v>239</v>
      </c>
      <c r="B6" s="12">
        <v>0</v>
      </c>
      <c r="C6" s="66">
        <f>B6+25</f>
        <v>25</v>
      </c>
      <c r="D6" s="66">
        <f t="shared" ref="D6:N6" si="4">C6+25</f>
        <v>50</v>
      </c>
      <c r="E6" s="66">
        <f t="shared" si="4"/>
        <v>75</v>
      </c>
      <c r="F6" s="66">
        <f t="shared" si="4"/>
        <v>100</v>
      </c>
      <c r="G6" s="66">
        <f t="shared" si="4"/>
        <v>125</v>
      </c>
      <c r="H6" s="94">
        <f t="shared" si="4"/>
        <v>150</v>
      </c>
      <c r="I6" s="66">
        <f t="shared" si="4"/>
        <v>175</v>
      </c>
      <c r="J6" s="66">
        <f t="shared" si="4"/>
        <v>200</v>
      </c>
      <c r="K6" s="66">
        <f t="shared" si="4"/>
        <v>225</v>
      </c>
      <c r="L6" s="66">
        <f t="shared" si="4"/>
        <v>250</v>
      </c>
      <c r="M6" s="66">
        <f t="shared" si="4"/>
        <v>275</v>
      </c>
      <c r="N6" s="94">
        <f t="shared" si="4"/>
        <v>300</v>
      </c>
    </row>
    <row r="7" spans="1:14">
      <c r="A7" t="s">
        <v>131</v>
      </c>
      <c r="B7" s="66">
        <v>25</v>
      </c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4">
      <c r="A8" t="s">
        <v>132</v>
      </c>
      <c r="B8" s="66">
        <f>B42</f>
        <v>0</v>
      </c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4">
      <c r="A9" t="s">
        <v>123</v>
      </c>
      <c r="B9" s="66">
        <v>150</v>
      </c>
      <c r="C9" s="66" t="s">
        <v>175</v>
      </c>
      <c r="D9" s="66" t="s">
        <v>175</v>
      </c>
      <c r="E9" s="66" t="str">
        <f t="shared" ref="E9:L9" si="5">D9</f>
        <v xml:space="preserve"> </v>
      </c>
      <c r="F9" s="66" t="str">
        <f t="shared" si="5"/>
        <v xml:space="preserve"> </v>
      </c>
      <c r="G9" s="66" t="str">
        <f t="shared" si="5"/>
        <v xml:space="preserve"> </v>
      </c>
      <c r="H9" s="66" t="str">
        <f t="shared" si="5"/>
        <v xml:space="preserve"> </v>
      </c>
      <c r="I9" s="66" t="str">
        <f t="shared" si="5"/>
        <v xml:space="preserve"> </v>
      </c>
      <c r="J9" s="66" t="str">
        <f t="shared" si="5"/>
        <v xml:space="preserve"> </v>
      </c>
      <c r="K9" s="66" t="str">
        <f t="shared" si="5"/>
        <v xml:space="preserve"> </v>
      </c>
      <c r="L9" s="66" t="str">
        <f t="shared" si="5"/>
        <v xml:space="preserve"> </v>
      </c>
    </row>
    <row r="10" spans="1:14">
      <c r="A10" t="s">
        <v>113</v>
      </c>
      <c r="B10" s="66">
        <v>25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4">
      <c r="A11" t="s">
        <v>114</v>
      </c>
      <c r="B11" s="66">
        <v>10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4">
      <c r="A12" s="62" t="s">
        <v>133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4">
      <c r="A13" s="64" t="s">
        <v>115</v>
      </c>
    </row>
    <row r="14" spans="1:14">
      <c r="A14" t="s">
        <v>96</v>
      </c>
      <c r="B14" s="93" t="s">
        <v>293</v>
      </c>
    </row>
    <row r="15" spans="1:14">
      <c r="A15" t="str">
        <f>A4</f>
        <v>WRITE REAL CALL AT K2 +K</v>
      </c>
      <c r="B15" s="93" t="s">
        <v>294</v>
      </c>
    </row>
    <row r="16" spans="1:14">
      <c r="A16" t="str">
        <f>A5</f>
        <v>BUY REAL PUT AT K1 +K</v>
      </c>
      <c r="B16" s="93" t="s">
        <v>295</v>
      </c>
    </row>
  </sheetData>
  <printOptions horizontalCentered="1" headings="1"/>
  <pageMargins left="0.7" right="0.7" top="0.75" bottom="0.75" header="0.3" footer="0.3"/>
  <pageSetup scale="75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3"/>
  <sheetViews>
    <sheetView topLeftCell="A21" workbookViewId="0">
      <selection activeCell="B40" sqref="B40"/>
    </sheetView>
  </sheetViews>
  <sheetFormatPr defaultRowHeight="12.75"/>
  <cols>
    <col min="1" max="1" width="33.42578125" bestFit="1" customWidth="1"/>
    <col min="2" max="6" width="6.140625" customWidth="1"/>
    <col min="7" max="7" width="5.140625" customWidth="1"/>
    <col min="8" max="8" width="5.5703125" customWidth="1"/>
    <col min="9" max="12" width="6.140625" customWidth="1"/>
  </cols>
  <sheetData>
    <row r="1" spans="1:14" ht="18">
      <c r="A1" s="49" t="s">
        <v>94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>
      <c r="A2" t="s">
        <v>97</v>
      </c>
      <c r="B2" s="66">
        <v>-150</v>
      </c>
      <c r="C2" s="66">
        <f>B2+25</f>
        <v>-125</v>
      </c>
      <c r="D2" s="66">
        <f t="shared" ref="D2:L2" si="0">C2+25</f>
        <v>-100</v>
      </c>
      <c r="E2" s="66">
        <f t="shared" si="0"/>
        <v>-75</v>
      </c>
      <c r="F2" s="66">
        <f t="shared" si="0"/>
        <v>-50</v>
      </c>
      <c r="G2" s="66">
        <f t="shared" si="0"/>
        <v>-25</v>
      </c>
      <c r="H2" s="66">
        <f t="shared" si="0"/>
        <v>0</v>
      </c>
      <c r="I2" s="66">
        <f t="shared" si="0"/>
        <v>25</v>
      </c>
      <c r="J2" s="66">
        <f t="shared" si="0"/>
        <v>50</v>
      </c>
      <c r="K2" s="66">
        <f t="shared" si="0"/>
        <v>75</v>
      </c>
      <c r="L2" s="66">
        <f t="shared" si="0"/>
        <v>100</v>
      </c>
      <c r="M2" s="66">
        <f>L2+25</f>
        <v>125</v>
      </c>
      <c r="N2" s="66">
        <f>M2+25</f>
        <v>150</v>
      </c>
    </row>
    <row r="3" spans="1:14">
      <c r="A3" t="s">
        <v>129</v>
      </c>
      <c r="B3" s="66">
        <f>IF(B2&gt;$B$6,$B$6-B2+$B$9,$B$9)</f>
        <v>25</v>
      </c>
      <c r="C3" s="66">
        <f t="shared" ref="C3:L3" si="1">IF(C2&gt;$B$6,$B$6-C2+$B$9,$B$9)</f>
        <v>25</v>
      </c>
      <c r="D3" s="66">
        <f t="shared" si="1"/>
        <v>25</v>
      </c>
      <c r="E3" s="66">
        <f t="shared" si="1"/>
        <v>25</v>
      </c>
      <c r="F3" s="66">
        <f t="shared" si="1"/>
        <v>25</v>
      </c>
      <c r="G3" s="66">
        <f t="shared" si="1"/>
        <v>25</v>
      </c>
      <c r="H3" s="66">
        <f t="shared" si="1"/>
        <v>25</v>
      </c>
      <c r="I3" s="66">
        <f t="shared" si="1"/>
        <v>25</v>
      </c>
      <c r="J3" s="66">
        <f t="shared" si="1"/>
        <v>0</v>
      </c>
      <c r="K3" s="66">
        <f t="shared" si="1"/>
        <v>-25</v>
      </c>
      <c r="L3" s="66">
        <f t="shared" si="1"/>
        <v>-50</v>
      </c>
      <c r="M3" s="66">
        <f>IF(M2&gt;$B$6,$B$6-M2+$B$9,$B$9)</f>
        <v>-75</v>
      </c>
      <c r="N3" s="66">
        <f>IF(N2&gt;$B$6,$B$6-N2+$B$9,$B$9)</f>
        <v>-100</v>
      </c>
    </row>
    <row r="4" spans="1:14">
      <c r="A4" t="s">
        <v>130</v>
      </c>
      <c r="B4" s="66">
        <f>IF(B2&lt;$B$7,-B2-$B$7-$B$10,-$B$10)</f>
        <v>140</v>
      </c>
      <c r="C4" s="66">
        <f t="shared" ref="C4:L4" si="2">IF(C2&lt;$B$7,-C2-$B$7-$B$10,-$B$10)</f>
        <v>115</v>
      </c>
      <c r="D4" s="66">
        <f t="shared" si="2"/>
        <v>90</v>
      </c>
      <c r="E4" s="66">
        <f t="shared" si="2"/>
        <v>65</v>
      </c>
      <c r="F4" s="66">
        <f t="shared" si="2"/>
        <v>40</v>
      </c>
      <c r="G4" s="66">
        <f t="shared" si="2"/>
        <v>15</v>
      </c>
      <c r="H4" s="66">
        <f t="shared" si="2"/>
        <v>-10</v>
      </c>
      <c r="I4" s="66">
        <f t="shared" si="2"/>
        <v>-10</v>
      </c>
      <c r="J4" s="66">
        <f t="shared" si="2"/>
        <v>-10</v>
      </c>
      <c r="K4" s="66">
        <f t="shared" si="2"/>
        <v>-10</v>
      </c>
      <c r="L4" s="66">
        <f t="shared" si="2"/>
        <v>-10</v>
      </c>
      <c r="M4" s="66">
        <f>IF(M2&lt;$B$7,-M2-$B$7-$B$10,-$B$10)</f>
        <v>-10</v>
      </c>
      <c r="N4" s="66">
        <f>IF(N2&lt;$B$7,-N2-$B$7-$B$10,-$B$10)</f>
        <v>-10</v>
      </c>
    </row>
    <row r="5" spans="1:14">
      <c r="A5" t="s">
        <v>96</v>
      </c>
      <c r="B5" s="66">
        <f>B2+B3+B4</f>
        <v>15</v>
      </c>
      <c r="C5" s="66">
        <f t="shared" ref="C5:L5" si="3">C2+C3+C4</f>
        <v>15</v>
      </c>
      <c r="D5" s="66">
        <f t="shared" si="3"/>
        <v>15</v>
      </c>
      <c r="E5" s="66">
        <f t="shared" si="3"/>
        <v>15</v>
      </c>
      <c r="F5" s="66">
        <f t="shared" si="3"/>
        <v>15</v>
      </c>
      <c r="G5" s="66">
        <f t="shared" si="3"/>
        <v>15</v>
      </c>
      <c r="H5" s="66">
        <f t="shared" si="3"/>
        <v>15</v>
      </c>
      <c r="I5" s="66">
        <f t="shared" si="3"/>
        <v>40</v>
      </c>
      <c r="J5" s="66">
        <f t="shared" si="3"/>
        <v>40</v>
      </c>
      <c r="K5" s="66">
        <f t="shared" si="3"/>
        <v>40</v>
      </c>
      <c r="L5" s="66">
        <f t="shared" si="3"/>
        <v>40</v>
      </c>
      <c r="M5" s="66">
        <f>M2+M3+M4</f>
        <v>40</v>
      </c>
      <c r="N5" s="66">
        <f>N2+N3+N4</f>
        <v>40</v>
      </c>
    </row>
    <row r="6" spans="1:14">
      <c r="A6" t="s">
        <v>131</v>
      </c>
      <c r="B6" s="66">
        <f>B40</f>
        <v>25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4">
      <c r="A7" t="s">
        <v>132</v>
      </c>
      <c r="B7" s="66">
        <f>B41</f>
        <v>0</v>
      </c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4">
      <c r="A8" t="s">
        <v>123</v>
      </c>
      <c r="B8" s="66">
        <v>150</v>
      </c>
      <c r="C8" s="66" t="s">
        <v>175</v>
      </c>
      <c r="D8" s="66" t="s">
        <v>175</v>
      </c>
      <c r="E8" s="66" t="str">
        <f t="shared" ref="E8:L8" si="4">D8</f>
        <v xml:space="preserve"> </v>
      </c>
      <c r="F8" s="66" t="str">
        <f t="shared" si="4"/>
        <v xml:space="preserve"> </v>
      </c>
      <c r="G8" s="66" t="str">
        <f t="shared" si="4"/>
        <v xml:space="preserve"> </v>
      </c>
      <c r="H8" s="66" t="str">
        <f t="shared" si="4"/>
        <v xml:space="preserve"> </v>
      </c>
      <c r="I8" s="66" t="str">
        <f t="shared" si="4"/>
        <v xml:space="preserve"> </v>
      </c>
      <c r="J8" s="66" t="str">
        <f t="shared" si="4"/>
        <v xml:space="preserve"> </v>
      </c>
      <c r="K8" s="66" t="str">
        <f t="shared" si="4"/>
        <v xml:space="preserve"> </v>
      </c>
      <c r="L8" s="66" t="str">
        <f t="shared" si="4"/>
        <v xml:space="preserve"> </v>
      </c>
    </row>
    <row r="9" spans="1:14">
      <c r="A9" t="s">
        <v>113</v>
      </c>
      <c r="B9" s="66">
        <f>B42</f>
        <v>25</v>
      </c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4">
      <c r="A10" t="s">
        <v>114</v>
      </c>
      <c r="B10" s="66">
        <f>B43</f>
        <v>10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4">
      <c r="A11" s="62" t="s">
        <v>133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4">
      <c r="A12" s="64" t="s">
        <v>115</v>
      </c>
    </row>
    <row r="13" spans="1:14">
      <c r="A13" t="str">
        <f>A3</f>
        <v xml:space="preserve">WRITE REAL CALL AT K2 INTRINSIC </v>
      </c>
      <c r="B13" t="s">
        <v>116</v>
      </c>
    </row>
    <row r="14" spans="1:14">
      <c r="A14" t="str">
        <f>A4</f>
        <v>BUY REAL PUT AT K1 INTRINSIC</v>
      </c>
      <c r="B14" t="s">
        <v>117</v>
      </c>
    </row>
    <row r="15" spans="1:14">
      <c r="A15" t="s">
        <v>96</v>
      </c>
      <c r="B15" t="s">
        <v>118</v>
      </c>
    </row>
    <row r="40" spans="1:2">
      <c r="A40" t="s">
        <v>131</v>
      </c>
      <c r="B40">
        <v>25</v>
      </c>
    </row>
    <row r="41" spans="1:2">
      <c r="A41" t="s">
        <v>132</v>
      </c>
      <c r="B41">
        <v>0</v>
      </c>
    </row>
    <row r="42" spans="1:2">
      <c r="A42" t="s">
        <v>113</v>
      </c>
      <c r="B42">
        <v>25</v>
      </c>
    </row>
    <row r="43" spans="1:2">
      <c r="A43" t="s">
        <v>114</v>
      </c>
      <c r="B43">
        <v>10</v>
      </c>
    </row>
  </sheetData>
  <phoneticPr fontId="6" type="noConversion"/>
  <printOptions headings="1"/>
  <pageMargins left="0.54" right="0.12" top="1" bottom="1" header="0.5" footer="0.5"/>
  <pageSetup paperSize="9" scale="80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topLeftCell="G1" workbookViewId="0">
      <selection activeCell="H27" sqref="H27"/>
    </sheetView>
  </sheetViews>
  <sheetFormatPr defaultRowHeight="12.75"/>
  <cols>
    <col min="1" max="1" width="22" bestFit="1" customWidth="1"/>
    <col min="2" max="14" width="5.7109375" customWidth="1"/>
  </cols>
  <sheetData>
    <row r="1" spans="1:15" ht="18.75">
      <c r="A1" s="20" t="s">
        <v>156</v>
      </c>
      <c r="B1" s="20"/>
      <c r="C1" s="20"/>
      <c r="D1" s="20"/>
      <c r="E1" s="20"/>
      <c r="F1" s="20"/>
    </row>
    <row r="2" spans="1:15" ht="18.75">
      <c r="A2" s="20" t="s">
        <v>192</v>
      </c>
      <c r="B2" s="20"/>
      <c r="C2" s="20"/>
      <c r="D2" s="20"/>
      <c r="E2" s="20"/>
      <c r="F2" s="20"/>
    </row>
    <row r="3" spans="1:15">
      <c r="A3" t="s">
        <v>239</v>
      </c>
      <c r="B3">
        <v>0</v>
      </c>
      <c r="C3">
        <v>25</v>
      </c>
      <c r="D3">
        <f>C3+25</f>
        <v>50</v>
      </c>
      <c r="E3">
        <f t="shared" ref="E3:N3" si="0">D3+25</f>
        <v>75</v>
      </c>
      <c r="F3">
        <f t="shared" si="0"/>
        <v>100</v>
      </c>
      <c r="G3">
        <f t="shared" si="0"/>
        <v>125</v>
      </c>
      <c r="H3">
        <f t="shared" si="0"/>
        <v>150</v>
      </c>
      <c r="I3">
        <f t="shared" si="0"/>
        <v>175</v>
      </c>
      <c r="J3">
        <f t="shared" si="0"/>
        <v>200</v>
      </c>
      <c r="K3">
        <f t="shared" si="0"/>
        <v>225</v>
      </c>
      <c r="L3">
        <f t="shared" si="0"/>
        <v>250</v>
      </c>
      <c r="M3">
        <f t="shared" si="0"/>
        <v>275</v>
      </c>
      <c r="N3">
        <f t="shared" si="0"/>
        <v>300</v>
      </c>
    </row>
    <row r="4" spans="1:15">
      <c r="A4" t="s">
        <v>233</v>
      </c>
      <c r="B4">
        <f>B24</f>
        <v>100</v>
      </c>
      <c r="C4">
        <f>B4</f>
        <v>100</v>
      </c>
      <c r="D4">
        <f t="shared" ref="D4:N4" si="1">C4</f>
        <v>100</v>
      </c>
      <c r="E4">
        <f t="shared" si="1"/>
        <v>100</v>
      </c>
      <c r="F4">
        <f t="shared" si="1"/>
        <v>100</v>
      </c>
      <c r="G4">
        <f t="shared" si="1"/>
        <v>100</v>
      </c>
      <c r="H4">
        <f t="shared" si="1"/>
        <v>100</v>
      </c>
      <c r="I4">
        <f t="shared" si="1"/>
        <v>100</v>
      </c>
      <c r="J4">
        <f t="shared" si="1"/>
        <v>100</v>
      </c>
      <c r="K4">
        <f t="shared" si="1"/>
        <v>100</v>
      </c>
      <c r="L4">
        <f t="shared" si="1"/>
        <v>100</v>
      </c>
      <c r="M4">
        <f t="shared" si="1"/>
        <v>100</v>
      </c>
      <c r="N4">
        <f t="shared" si="1"/>
        <v>100</v>
      </c>
    </row>
    <row r="5" spans="1:15">
      <c r="A5" t="s">
        <v>157</v>
      </c>
      <c r="B5">
        <f>IF(B3&gt;B4,B3-B4,0)</f>
        <v>0</v>
      </c>
      <c r="C5">
        <f t="shared" ref="C5:M5" si="2">IF(C3&gt;C4,C3-C4,0)</f>
        <v>0</v>
      </c>
      <c r="D5">
        <f t="shared" si="2"/>
        <v>0</v>
      </c>
      <c r="E5">
        <f t="shared" si="2"/>
        <v>0</v>
      </c>
      <c r="F5">
        <f t="shared" si="2"/>
        <v>0</v>
      </c>
      <c r="G5">
        <f t="shared" si="2"/>
        <v>25</v>
      </c>
      <c r="H5">
        <f t="shared" si="2"/>
        <v>50</v>
      </c>
      <c r="I5">
        <f t="shared" si="2"/>
        <v>75</v>
      </c>
      <c r="J5">
        <f t="shared" si="2"/>
        <v>100</v>
      </c>
      <c r="K5">
        <f t="shared" si="2"/>
        <v>125</v>
      </c>
      <c r="L5">
        <f t="shared" si="2"/>
        <v>150</v>
      </c>
      <c r="M5">
        <f t="shared" si="2"/>
        <v>175</v>
      </c>
      <c r="N5">
        <f>IF(N3&gt;N4,N3-N4,0)</f>
        <v>200</v>
      </c>
      <c r="O5" t="s">
        <v>241</v>
      </c>
    </row>
    <row r="24" spans="1:2">
      <c r="A24" t="s">
        <v>233</v>
      </c>
      <c r="B24">
        <v>100</v>
      </c>
    </row>
  </sheetData>
  <phoneticPr fontId="6" type="noConversion"/>
  <pageMargins left="0.75" right="0.75" top="1" bottom="1" header="0.5" footer="0.5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10"/>
  <sheetViews>
    <sheetView workbookViewId="0">
      <selection activeCell="O20" sqref="O20"/>
    </sheetView>
  </sheetViews>
  <sheetFormatPr defaultRowHeight="12.75"/>
  <cols>
    <col min="1" max="1" width="27.28515625" bestFit="1" customWidth="1"/>
    <col min="2" max="14" width="5.7109375" customWidth="1"/>
  </cols>
  <sheetData>
    <row r="1" spans="1:14" ht="18">
      <c r="A1" s="49" t="s">
        <v>94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>
      <c r="A2" t="s">
        <v>105</v>
      </c>
      <c r="B2">
        <f>0-$B$5</f>
        <v>-150</v>
      </c>
      <c r="C2">
        <f>B2+25</f>
        <v>-125</v>
      </c>
      <c r="D2">
        <f t="shared" ref="D2:N2" si="0">C2+25</f>
        <v>-100</v>
      </c>
      <c r="E2">
        <f t="shared" si="0"/>
        <v>-75</v>
      </c>
      <c r="F2">
        <f t="shared" si="0"/>
        <v>-50</v>
      </c>
      <c r="G2">
        <f t="shared" si="0"/>
        <v>-25</v>
      </c>
      <c r="H2">
        <f t="shared" si="0"/>
        <v>0</v>
      </c>
      <c r="I2">
        <f t="shared" si="0"/>
        <v>25</v>
      </c>
      <c r="J2">
        <f t="shared" si="0"/>
        <v>50</v>
      </c>
      <c r="K2">
        <f t="shared" si="0"/>
        <v>75</v>
      </c>
      <c r="L2">
        <f t="shared" si="0"/>
        <v>100</v>
      </c>
      <c r="M2">
        <f t="shared" si="0"/>
        <v>125</v>
      </c>
      <c r="N2">
        <f t="shared" si="0"/>
        <v>150</v>
      </c>
    </row>
    <row r="3" spans="1:14">
      <c r="A3" s="19" t="s">
        <v>273</v>
      </c>
      <c r="B3">
        <f>IF(B2&gt;0,B2-$B$6,-$B$6)</f>
        <v>-15</v>
      </c>
      <c r="C3">
        <f t="shared" ref="C3:N3" si="1">IF(C2&gt;0,C2-$B$6,-$B$6)</f>
        <v>-15</v>
      </c>
      <c r="D3">
        <f t="shared" si="1"/>
        <v>-15</v>
      </c>
      <c r="E3">
        <f t="shared" si="1"/>
        <v>-15</v>
      </c>
      <c r="F3">
        <f t="shared" si="1"/>
        <v>-15</v>
      </c>
      <c r="G3">
        <f t="shared" si="1"/>
        <v>-15</v>
      </c>
      <c r="H3">
        <f t="shared" si="1"/>
        <v>-15</v>
      </c>
      <c r="I3">
        <f t="shared" si="1"/>
        <v>10</v>
      </c>
      <c r="J3">
        <f t="shared" si="1"/>
        <v>35</v>
      </c>
      <c r="K3">
        <f t="shared" si="1"/>
        <v>60</v>
      </c>
      <c r="L3">
        <f t="shared" si="1"/>
        <v>85</v>
      </c>
      <c r="M3">
        <f t="shared" si="1"/>
        <v>110</v>
      </c>
      <c r="N3">
        <f t="shared" si="1"/>
        <v>135</v>
      </c>
    </row>
    <row r="4" spans="1:14">
      <c r="A4" t="s">
        <v>96</v>
      </c>
      <c r="B4">
        <f>B2+B3</f>
        <v>-165</v>
      </c>
      <c r="C4">
        <f t="shared" ref="C4:N4" si="2">C2+C3</f>
        <v>-140</v>
      </c>
      <c r="D4">
        <f t="shared" si="2"/>
        <v>-115</v>
      </c>
      <c r="E4">
        <f t="shared" si="2"/>
        <v>-90</v>
      </c>
      <c r="F4">
        <f t="shared" si="2"/>
        <v>-65</v>
      </c>
      <c r="G4">
        <f t="shared" si="2"/>
        <v>-40</v>
      </c>
      <c r="H4">
        <f t="shared" si="2"/>
        <v>-15</v>
      </c>
      <c r="I4">
        <f t="shared" si="2"/>
        <v>35</v>
      </c>
      <c r="J4">
        <f t="shared" si="2"/>
        <v>85</v>
      </c>
      <c r="K4">
        <f t="shared" si="2"/>
        <v>135</v>
      </c>
      <c r="L4">
        <f t="shared" si="2"/>
        <v>185</v>
      </c>
      <c r="M4">
        <f t="shared" si="2"/>
        <v>235</v>
      </c>
      <c r="N4">
        <f t="shared" si="2"/>
        <v>285</v>
      </c>
    </row>
    <row r="5" spans="1:14">
      <c r="A5" t="s">
        <v>123</v>
      </c>
      <c r="B5">
        <v>150</v>
      </c>
      <c r="C5" t="s">
        <v>175</v>
      </c>
      <c r="D5" t="s">
        <v>175</v>
      </c>
      <c r="E5" t="str">
        <f t="shared" ref="E5:N5" si="3">D5</f>
        <v xml:space="preserve"> </v>
      </c>
      <c r="F5" t="str">
        <f t="shared" si="3"/>
        <v xml:space="preserve"> </v>
      </c>
      <c r="G5" t="str">
        <f t="shared" si="3"/>
        <v xml:space="preserve"> </v>
      </c>
      <c r="H5" t="str">
        <f t="shared" si="3"/>
        <v xml:space="preserve"> </v>
      </c>
      <c r="I5" t="str">
        <f t="shared" si="3"/>
        <v xml:space="preserve"> </v>
      </c>
      <c r="J5" t="str">
        <f t="shared" si="3"/>
        <v xml:space="preserve"> </v>
      </c>
      <c r="K5" t="str">
        <f t="shared" si="3"/>
        <v xml:space="preserve"> </v>
      </c>
      <c r="L5" t="str">
        <f t="shared" si="3"/>
        <v xml:space="preserve"> </v>
      </c>
      <c r="M5" t="str">
        <f t="shared" si="3"/>
        <v xml:space="preserve"> </v>
      </c>
      <c r="N5" t="str">
        <f t="shared" si="3"/>
        <v xml:space="preserve"> </v>
      </c>
    </row>
    <row r="6" spans="1:14">
      <c r="A6" t="s">
        <v>95</v>
      </c>
      <c r="B6">
        <v>15</v>
      </c>
    </row>
    <row r="7" spans="1:14" ht="20.100000000000001" customHeight="1">
      <c r="A7" s="91" t="s">
        <v>274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>
      <c r="A8" s="64" t="s">
        <v>275</v>
      </c>
    </row>
    <row r="9" spans="1:14">
      <c r="A9" t="str">
        <f>A3</f>
        <v>HOLD REAL CALL INTRINSIC</v>
      </c>
      <c r="B9" s="19" t="s">
        <v>276</v>
      </c>
    </row>
    <row r="10" spans="1:14">
      <c r="A10" t="s">
        <v>96</v>
      </c>
      <c r="B10" s="19" t="s">
        <v>100</v>
      </c>
    </row>
  </sheetData>
  <printOptions headings="1"/>
  <pageMargins left="0.7" right="0.7" top="0.75" bottom="0.75" header="0.3" footer="0.3"/>
  <pageSetup scale="9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10"/>
  <sheetViews>
    <sheetView workbookViewId="0">
      <selection sqref="A1:N36"/>
    </sheetView>
  </sheetViews>
  <sheetFormatPr defaultRowHeight="12.75"/>
  <cols>
    <col min="1" max="1" width="28.85546875" bestFit="1" customWidth="1"/>
    <col min="2" max="14" width="5.7109375" customWidth="1"/>
  </cols>
  <sheetData>
    <row r="1" spans="1:14" ht="18">
      <c r="A1" s="49" t="s">
        <v>94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>
      <c r="A2" s="19" t="s">
        <v>277</v>
      </c>
      <c r="B2">
        <f>0-$B$5</f>
        <v>-150</v>
      </c>
      <c r="C2">
        <f>B2+25</f>
        <v>-125</v>
      </c>
      <c r="D2">
        <f t="shared" ref="D2:N2" si="0">C2+25</f>
        <v>-100</v>
      </c>
      <c r="E2">
        <f t="shared" si="0"/>
        <v>-75</v>
      </c>
      <c r="F2">
        <f t="shared" si="0"/>
        <v>-50</v>
      </c>
      <c r="G2">
        <f t="shared" si="0"/>
        <v>-25</v>
      </c>
      <c r="H2">
        <f t="shared" si="0"/>
        <v>0</v>
      </c>
      <c r="I2">
        <f t="shared" si="0"/>
        <v>25</v>
      </c>
      <c r="J2">
        <f t="shared" si="0"/>
        <v>50</v>
      </c>
      <c r="K2">
        <f t="shared" si="0"/>
        <v>75</v>
      </c>
      <c r="L2">
        <f t="shared" si="0"/>
        <v>100</v>
      </c>
      <c r="M2">
        <f t="shared" si="0"/>
        <v>125</v>
      </c>
      <c r="N2">
        <f t="shared" si="0"/>
        <v>150</v>
      </c>
    </row>
    <row r="3" spans="1:14">
      <c r="A3" s="19" t="s">
        <v>278</v>
      </c>
      <c r="B3" s="19">
        <f>IF(B2&lt;0,B2+$B$6,+$B$6)</f>
        <v>-135</v>
      </c>
      <c r="C3" s="19">
        <f t="shared" ref="C3:N3" si="1">IF(C2&lt;0,C2+$B$6,+$B$6)</f>
        <v>-110</v>
      </c>
      <c r="D3" s="19">
        <f t="shared" si="1"/>
        <v>-85</v>
      </c>
      <c r="E3" s="19">
        <f t="shared" si="1"/>
        <v>-60</v>
      </c>
      <c r="F3" s="19">
        <f t="shared" si="1"/>
        <v>-35</v>
      </c>
      <c r="G3" s="19">
        <f t="shared" si="1"/>
        <v>-10</v>
      </c>
      <c r="H3" s="19">
        <f t="shared" si="1"/>
        <v>15</v>
      </c>
      <c r="I3" s="19">
        <f t="shared" si="1"/>
        <v>15</v>
      </c>
      <c r="J3" s="19">
        <f t="shared" si="1"/>
        <v>15</v>
      </c>
      <c r="K3" s="19">
        <f t="shared" si="1"/>
        <v>15</v>
      </c>
      <c r="L3" s="19">
        <f t="shared" si="1"/>
        <v>15</v>
      </c>
      <c r="M3" s="19">
        <f t="shared" si="1"/>
        <v>15</v>
      </c>
      <c r="N3" s="19">
        <f t="shared" si="1"/>
        <v>15</v>
      </c>
    </row>
    <row r="4" spans="1:14">
      <c r="A4" t="s">
        <v>96</v>
      </c>
      <c r="B4">
        <f>B2+B3</f>
        <v>-285</v>
      </c>
      <c r="C4">
        <f t="shared" ref="C4:N4" si="2">C2+C3</f>
        <v>-235</v>
      </c>
      <c r="D4">
        <f t="shared" si="2"/>
        <v>-185</v>
      </c>
      <c r="E4">
        <f t="shared" si="2"/>
        <v>-135</v>
      </c>
      <c r="F4">
        <f t="shared" si="2"/>
        <v>-85</v>
      </c>
      <c r="G4">
        <f t="shared" si="2"/>
        <v>-35</v>
      </c>
      <c r="H4">
        <f t="shared" si="2"/>
        <v>15</v>
      </c>
      <c r="I4">
        <f t="shared" si="2"/>
        <v>40</v>
      </c>
      <c r="J4">
        <f t="shared" si="2"/>
        <v>65</v>
      </c>
      <c r="K4">
        <f t="shared" si="2"/>
        <v>90</v>
      </c>
      <c r="L4">
        <f t="shared" si="2"/>
        <v>115</v>
      </c>
      <c r="M4">
        <f t="shared" si="2"/>
        <v>140</v>
      </c>
      <c r="N4">
        <f t="shared" si="2"/>
        <v>165</v>
      </c>
    </row>
    <row r="5" spans="1:14">
      <c r="A5" t="s">
        <v>123</v>
      </c>
      <c r="B5">
        <v>150</v>
      </c>
      <c r="C5" t="s">
        <v>175</v>
      </c>
      <c r="D5" t="s">
        <v>175</v>
      </c>
      <c r="E5" t="str">
        <f t="shared" ref="E5:N5" si="3">D5</f>
        <v xml:space="preserve"> </v>
      </c>
      <c r="F5" t="str">
        <f t="shared" si="3"/>
        <v xml:space="preserve"> </v>
      </c>
      <c r="G5" t="str">
        <f t="shared" si="3"/>
        <v xml:space="preserve"> </v>
      </c>
      <c r="H5" t="str">
        <f t="shared" si="3"/>
        <v xml:space="preserve"> </v>
      </c>
      <c r="I5" t="str">
        <f t="shared" si="3"/>
        <v xml:space="preserve"> </v>
      </c>
      <c r="J5" t="str">
        <f t="shared" si="3"/>
        <v xml:space="preserve"> </v>
      </c>
      <c r="K5" t="str">
        <f t="shared" si="3"/>
        <v xml:space="preserve"> </v>
      </c>
      <c r="L5" t="str">
        <f t="shared" si="3"/>
        <v xml:space="preserve"> </v>
      </c>
      <c r="M5" t="str">
        <f t="shared" si="3"/>
        <v xml:space="preserve"> </v>
      </c>
      <c r="N5" t="str">
        <f t="shared" si="3"/>
        <v xml:space="preserve"> </v>
      </c>
    </row>
    <row r="6" spans="1:14">
      <c r="A6" t="s">
        <v>95</v>
      </c>
      <c r="B6">
        <v>15</v>
      </c>
    </row>
    <row r="7" spans="1:14" ht="20.100000000000001" customHeight="1">
      <c r="A7" s="91" t="s">
        <v>280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>
      <c r="A8" s="64" t="s">
        <v>281</v>
      </c>
    </row>
    <row r="9" spans="1:14">
      <c r="A9" t="str">
        <f>A3</f>
        <v>RENOVATION REQUIREMENT</v>
      </c>
      <c r="B9" s="19" t="s">
        <v>279</v>
      </c>
    </row>
    <row r="10" spans="1:14">
      <c r="A10" t="s">
        <v>96</v>
      </c>
      <c r="B10" s="19" t="s">
        <v>100</v>
      </c>
    </row>
  </sheetData>
  <printOptions headings="1"/>
  <pageMargins left="0.7" right="0.7" top="0.75" bottom="0.75" header="0.3" footer="0.3"/>
  <pageSetup scale="9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43"/>
  <sheetViews>
    <sheetView workbookViewId="0">
      <selection activeCell="A13" sqref="A13"/>
    </sheetView>
  </sheetViews>
  <sheetFormatPr defaultRowHeight="12.75"/>
  <cols>
    <col min="1" max="1" width="18.42578125" bestFit="1" customWidth="1"/>
    <col min="2" max="2" width="5.85546875" customWidth="1"/>
    <col min="3" max="6" width="4.140625" customWidth="1"/>
    <col min="7" max="26" width="4.85546875" customWidth="1"/>
  </cols>
  <sheetData>
    <row r="1" spans="1:26" ht="1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6" ht="15">
      <c r="A2" s="24" t="s">
        <v>90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6" ht="15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6">
      <c r="A4" t="s">
        <v>26</v>
      </c>
      <c r="B4" s="68">
        <v>34000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>
      <c r="A5" t="s">
        <v>20</v>
      </c>
      <c r="B5" s="68">
        <v>48000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>
      <c r="A6" t="s">
        <v>27</v>
      </c>
      <c r="B6" s="68">
        <v>20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6">
      <c r="A7" t="s">
        <v>28</v>
      </c>
      <c r="B7" s="68">
        <f>B43</f>
        <v>2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</row>
    <row r="8" spans="1:26">
      <c r="A8" t="s">
        <v>217</v>
      </c>
      <c r="B8" s="68">
        <v>0.6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6">
      <c r="A9" t="s">
        <v>21</v>
      </c>
      <c r="B9" s="68">
        <v>0</v>
      </c>
      <c r="C9" s="88">
        <f>B9+2000</f>
        <v>2000</v>
      </c>
      <c r="D9" s="88">
        <f t="shared" ref="D9:Z9" si="0">C9+2000</f>
        <v>4000</v>
      </c>
      <c r="E9" s="88">
        <f t="shared" si="0"/>
        <v>6000</v>
      </c>
      <c r="F9" s="88">
        <f t="shared" si="0"/>
        <v>8000</v>
      </c>
      <c r="G9" s="88">
        <f t="shared" si="0"/>
        <v>10000</v>
      </c>
      <c r="H9" s="88">
        <f t="shared" si="0"/>
        <v>12000</v>
      </c>
      <c r="I9" s="88">
        <f t="shared" si="0"/>
        <v>14000</v>
      </c>
      <c r="J9" s="88">
        <f t="shared" si="0"/>
        <v>16000</v>
      </c>
      <c r="K9" s="88">
        <f t="shared" si="0"/>
        <v>18000</v>
      </c>
      <c r="L9" s="88">
        <f t="shared" si="0"/>
        <v>20000</v>
      </c>
      <c r="M9" s="88">
        <f t="shared" si="0"/>
        <v>22000</v>
      </c>
      <c r="N9" s="88">
        <f t="shared" si="0"/>
        <v>24000</v>
      </c>
      <c r="O9" s="88">
        <f t="shared" si="0"/>
        <v>26000</v>
      </c>
      <c r="P9" s="88">
        <f t="shared" si="0"/>
        <v>28000</v>
      </c>
      <c r="Q9" s="88">
        <f t="shared" si="0"/>
        <v>30000</v>
      </c>
      <c r="R9" s="88">
        <f t="shared" si="0"/>
        <v>32000</v>
      </c>
      <c r="S9" s="88">
        <f t="shared" si="0"/>
        <v>34000</v>
      </c>
      <c r="T9" s="88">
        <f t="shared" si="0"/>
        <v>36000</v>
      </c>
      <c r="U9" s="88">
        <f t="shared" si="0"/>
        <v>38000</v>
      </c>
      <c r="V9" s="88">
        <f t="shared" si="0"/>
        <v>40000</v>
      </c>
      <c r="W9" s="88">
        <f t="shared" si="0"/>
        <v>42000</v>
      </c>
      <c r="X9" s="88">
        <f t="shared" si="0"/>
        <v>44000</v>
      </c>
      <c r="Y9" s="88">
        <f t="shared" si="0"/>
        <v>46000</v>
      </c>
      <c r="Z9" s="88">
        <f t="shared" si="0"/>
        <v>48000</v>
      </c>
    </row>
    <row r="10" spans="1:26">
      <c r="A10" t="s">
        <v>91</v>
      </c>
      <c r="B10" s="68"/>
      <c r="C10" s="69">
        <f>C13+C14</f>
        <v>40000</v>
      </c>
      <c r="D10" s="69">
        <f t="shared" ref="D10:Z10" si="1">D13+D14</f>
        <v>80000</v>
      </c>
      <c r="E10" s="69">
        <f t="shared" si="1"/>
        <v>120000</v>
      </c>
      <c r="F10" s="69">
        <f t="shared" si="1"/>
        <v>160000</v>
      </c>
      <c r="G10" s="69">
        <f t="shared" si="1"/>
        <v>200000</v>
      </c>
      <c r="H10" s="69">
        <f t="shared" si="1"/>
        <v>240000</v>
      </c>
      <c r="I10" s="69">
        <f t="shared" si="1"/>
        <v>280000</v>
      </c>
      <c r="J10" s="69">
        <f t="shared" si="1"/>
        <v>320000</v>
      </c>
      <c r="K10" s="69">
        <f t="shared" si="1"/>
        <v>360000</v>
      </c>
      <c r="L10" s="69">
        <f t="shared" si="1"/>
        <v>400000</v>
      </c>
      <c r="M10" s="69">
        <f t="shared" si="1"/>
        <v>440000</v>
      </c>
      <c r="N10" s="69">
        <f t="shared" si="1"/>
        <v>480000</v>
      </c>
      <c r="O10" s="69">
        <f t="shared" si="1"/>
        <v>520000</v>
      </c>
      <c r="P10" s="69">
        <f t="shared" si="1"/>
        <v>560000</v>
      </c>
      <c r="Q10" s="69">
        <f t="shared" si="1"/>
        <v>600000</v>
      </c>
      <c r="R10" s="69">
        <f t="shared" si="1"/>
        <v>640000</v>
      </c>
      <c r="S10" s="69">
        <f t="shared" si="1"/>
        <v>680000</v>
      </c>
      <c r="T10" s="69">
        <f t="shared" si="1"/>
        <v>720000</v>
      </c>
      <c r="U10" s="69">
        <f t="shared" si="1"/>
        <v>760000</v>
      </c>
      <c r="V10" s="69">
        <f t="shared" si="1"/>
        <v>800000</v>
      </c>
      <c r="W10" s="69">
        <f t="shared" si="1"/>
        <v>840000</v>
      </c>
      <c r="X10" s="69">
        <f t="shared" si="1"/>
        <v>880000</v>
      </c>
      <c r="Y10" s="69">
        <f t="shared" si="1"/>
        <v>920000</v>
      </c>
      <c r="Z10" s="69">
        <f t="shared" si="1"/>
        <v>960000</v>
      </c>
    </row>
    <row r="11" spans="1:26">
      <c r="A11" t="s">
        <v>24</v>
      </c>
      <c r="B11" s="68">
        <f>$B$6*B9-$B$4*$B$7</f>
        <v>-68000</v>
      </c>
      <c r="C11" s="69">
        <f t="shared" ref="C11:Z11" si="2">$B$6*C9-$B$4*$B$7</f>
        <v>-28000</v>
      </c>
      <c r="D11" s="69">
        <f t="shared" si="2"/>
        <v>12000</v>
      </c>
      <c r="E11" s="69">
        <f t="shared" si="2"/>
        <v>52000</v>
      </c>
      <c r="F11" s="69">
        <f t="shared" si="2"/>
        <v>92000</v>
      </c>
      <c r="G11" s="69">
        <f t="shared" si="2"/>
        <v>132000</v>
      </c>
      <c r="H11" s="69">
        <f t="shared" si="2"/>
        <v>172000</v>
      </c>
      <c r="I11" s="69">
        <f t="shared" si="2"/>
        <v>212000</v>
      </c>
      <c r="J11" s="69">
        <f t="shared" si="2"/>
        <v>252000</v>
      </c>
      <c r="K11" s="69">
        <f t="shared" si="2"/>
        <v>292000</v>
      </c>
      <c r="L11" s="69">
        <f t="shared" si="2"/>
        <v>332000</v>
      </c>
      <c r="M11" s="69">
        <f t="shared" si="2"/>
        <v>372000</v>
      </c>
      <c r="N11" s="69">
        <f t="shared" si="2"/>
        <v>412000</v>
      </c>
      <c r="O11" s="69">
        <f t="shared" si="2"/>
        <v>452000</v>
      </c>
      <c r="P11" s="69">
        <f t="shared" si="2"/>
        <v>492000</v>
      </c>
      <c r="Q11" s="69">
        <f t="shared" si="2"/>
        <v>532000</v>
      </c>
      <c r="R11" s="69">
        <f t="shared" si="2"/>
        <v>572000</v>
      </c>
      <c r="S11" s="69">
        <f t="shared" si="2"/>
        <v>612000</v>
      </c>
      <c r="T11" s="69">
        <f t="shared" si="2"/>
        <v>652000</v>
      </c>
      <c r="U11" s="69">
        <f t="shared" si="2"/>
        <v>692000</v>
      </c>
      <c r="V11" s="69">
        <f t="shared" si="2"/>
        <v>732000</v>
      </c>
      <c r="W11" s="69">
        <f t="shared" si="2"/>
        <v>772000</v>
      </c>
      <c r="X11" s="69">
        <f t="shared" si="2"/>
        <v>812000</v>
      </c>
      <c r="Y11" s="69">
        <f t="shared" si="2"/>
        <v>852000</v>
      </c>
      <c r="Z11" s="69">
        <f t="shared" si="2"/>
        <v>892000</v>
      </c>
    </row>
    <row r="12" spans="1:26">
      <c r="A12" t="s">
        <v>25</v>
      </c>
      <c r="B12" s="68">
        <f>$B$4*$B$7</f>
        <v>68000</v>
      </c>
      <c r="C12" s="69">
        <f t="shared" ref="C12:Z12" si="3">$B$4*$B$7</f>
        <v>68000</v>
      </c>
      <c r="D12" s="69">
        <f t="shared" si="3"/>
        <v>68000</v>
      </c>
      <c r="E12" s="69">
        <f t="shared" si="3"/>
        <v>68000</v>
      </c>
      <c r="F12" s="69">
        <f t="shared" si="3"/>
        <v>68000</v>
      </c>
      <c r="G12" s="69">
        <f t="shared" si="3"/>
        <v>68000</v>
      </c>
      <c r="H12" s="69">
        <f t="shared" si="3"/>
        <v>68000</v>
      </c>
      <c r="I12" s="69">
        <f t="shared" si="3"/>
        <v>68000</v>
      </c>
      <c r="J12" s="69">
        <f t="shared" si="3"/>
        <v>68000</v>
      </c>
      <c r="K12" s="69">
        <f t="shared" si="3"/>
        <v>68000</v>
      </c>
      <c r="L12" s="69">
        <f t="shared" si="3"/>
        <v>68000</v>
      </c>
      <c r="M12" s="69">
        <f t="shared" si="3"/>
        <v>68000</v>
      </c>
      <c r="N12" s="69">
        <f t="shared" si="3"/>
        <v>68000</v>
      </c>
      <c r="O12" s="69">
        <f t="shared" si="3"/>
        <v>68000</v>
      </c>
      <c r="P12" s="69">
        <f t="shared" si="3"/>
        <v>68000</v>
      </c>
      <c r="Q12" s="69">
        <f t="shared" si="3"/>
        <v>68000</v>
      </c>
      <c r="R12" s="69">
        <f t="shared" si="3"/>
        <v>68000</v>
      </c>
      <c r="S12" s="69">
        <f t="shared" si="3"/>
        <v>68000</v>
      </c>
      <c r="T12" s="69">
        <f t="shared" si="3"/>
        <v>68000</v>
      </c>
      <c r="U12" s="69">
        <f t="shared" si="3"/>
        <v>68000</v>
      </c>
      <c r="V12" s="69">
        <f t="shared" si="3"/>
        <v>68000</v>
      </c>
      <c r="W12" s="69">
        <f t="shared" si="3"/>
        <v>68000</v>
      </c>
      <c r="X12" s="69">
        <f t="shared" si="3"/>
        <v>68000</v>
      </c>
      <c r="Y12" s="69">
        <f t="shared" si="3"/>
        <v>68000</v>
      </c>
      <c r="Z12" s="69">
        <f t="shared" si="3"/>
        <v>68000</v>
      </c>
    </row>
    <row r="13" spans="1:26">
      <c r="A13" t="s">
        <v>29</v>
      </c>
      <c r="B13" s="68">
        <f>IF(B9&lt;$B$4,$B$6*B9,$B$8*$B$6*B9)</f>
        <v>0</v>
      </c>
      <c r="C13" s="69">
        <f t="shared" ref="C13:Z13" si="4">IF(C9&lt;$B$4,$B$6*C9,$B$8*$B$6*C9)</f>
        <v>40000</v>
      </c>
      <c r="D13" s="69">
        <f t="shared" si="4"/>
        <v>80000</v>
      </c>
      <c r="E13" s="69">
        <f t="shared" si="4"/>
        <v>120000</v>
      </c>
      <c r="F13" s="69">
        <f t="shared" si="4"/>
        <v>160000</v>
      </c>
      <c r="G13" s="69">
        <f t="shared" si="4"/>
        <v>200000</v>
      </c>
      <c r="H13" s="69">
        <f t="shared" si="4"/>
        <v>240000</v>
      </c>
      <c r="I13" s="69">
        <f t="shared" si="4"/>
        <v>280000</v>
      </c>
      <c r="J13" s="69">
        <f t="shared" si="4"/>
        <v>320000</v>
      </c>
      <c r="K13" s="69">
        <f t="shared" si="4"/>
        <v>360000</v>
      </c>
      <c r="L13" s="69">
        <f t="shared" si="4"/>
        <v>400000</v>
      </c>
      <c r="M13" s="69">
        <f t="shared" si="4"/>
        <v>440000</v>
      </c>
      <c r="N13" s="69">
        <f t="shared" si="4"/>
        <v>480000</v>
      </c>
      <c r="O13" s="69">
        <f t="shared" si="4"/>
        <v>520000</v>
      </c>
      <c r="P13" s="69">
        <f t="shared" si="4"/>
        <v>560000</v>
      </c>
      <c r="Q13" s="69">
        <f t="shared" si="4"/>
        <v>600000</v>
      </c>
      <c r="R13" s="69">
        <f t="shared" si="4"/>
        <v>640000</v>
      </c>
      <c r="S13" s="69">
        <f t="shared" si="4"/>
        <v>408000</v>
      </c>
      <c r="T13" s="69">
        <f t="shared" si="4"/>
        <v>432000</v>
      </c>
      <c r="U13" s="69">
        <f t="shared" si="4"/>
        <v>456000</v>
      </c>
      <c r="V13" s="69">
        <f t="shared" si="4"/>
        <v>480000</v>
      </c>
      <c r="W13" s="69">
        <f t="shared" si="4"/>
        <v>504000</v>
      </c>
      <c r="X13" s="69">
        <f t="shared" si="4"/>
        <v>528000</v>
      </c>
      <c r="Y13" s="69">
        <f t="shared" si="4"/>
        <v>552000</v>
      </c>
      <c r="Z13" s="69">
        <f t="shared" si="4"/>
        <v>576000</v>
      </c>
    </row>
    <row r="14" spans="1:26">
      <c r="A14" t="s">
        <v>30</v>
      </c>
      <c r="B14" s="68">
        <f>IF(B9&lt;$B$4,0,(1-$B$8)*$B$6*B9)</f>
        <v>0</v>
      </c>
      <c r="C14" s="69">
        <f t="shared" ref="C14:Z14" si="5">IF(C9&lt;$B$4,0,(1-$B$8)*$B$6*C9)</f>
        <v>0</v>
      </c>
      <c r="D14" s="69">
        <f t="shared" si="5"/>
        <v>0</v>
      </c>
      <c r="E14" s="69">
        <f t="shared" si="5"/>
        <v>0</v>
      </c>
      <c r="F14" s="69">
        <f t="shared" si="5"/>
        <v>0</v>
      </c>
      <c r="G14" s="69">
        <f t="shared" si="5"/>
        <v>0</v>
      </c>
      <c r="H14" s="69">
        <f t="shared" si="5"/>
        <v>0</v>
      </c>
      <c r="I14" s="69">
        <f t="shared" si="5"/>
        <v>0</v>
      </c>
      <c r="J14" s="69">
        <f t="shared" si="5"/>
        <v>0</v>
      </c>
      <c r="K14" s="69">
        <f t="shared" si="5"/>
        <v>0</v>
      </c>
      <c r="L14" s="69">
        <f t="shared" si="5"/>
        <v>0</v>
      </c>
      <c r="M14" s="69">
        <f t="shared" si="5"/>
        <v>0</v>
      </c>
      <c r="N14" s="69">
        <f t="shared" si="5"/>
        <v>0</v>
      </c>
      <c r="O14" s="69">
        <f t="shared" si="5"/>
        <v>0</v>
      </c>
      <c r="P14" s="69">
        <f t="shared" si="5"/>
        <v>0</v>
      </c>
      <c r="Q14" s="69">
        <f t="shared" si="5"/>
        <v>0</v>
      </c>
      <c r="R14" s="69">
        <f t="shared" si="5"/>
        <v>0</v>
      </c>
      <c r="S14" s="69">
        <f t="shared" si="5"/>
        <v>272000</v>
      </c>
      <c r="T14" s="69">
        <f t="shared" si="5"/>
        <v>288000</v>
      </c>
      <c r="U14" s="69">
        <f t="shared" si="5"/>
        <v>304000</v>
      </c>
      <c r="V14" s="69">
        <f t="shared" si="5"/>
        <v>320000</v>
      </c>
      <c r="W14" s="69">
        <f t="shared" si="5"/>
        <v>336000</v>
      </c>
      <c r="X14" s="69">
        <f t="shared" si="5"/>
        <v>352000</v>
      </c>
      <c r="Y14" s="69">
        <f t="shared" si="5"/>
        <v>368000</v>
      </c>
      <c r="Z14" s="69">
        <f t="shared" si="5"/>
        <v>384000</v>
      </c>
    </row>
    <row r="15" spans="1:26">
      <c r="A15" t="str">
        <f>A10</f>
        <v>CITY(-), COUNCIL(+)</v>
      </c>
      <c r="B15" s="69" t="s">
        <v>175</v>
      </c>
      <c r="T15" s="68" t="s">
        <v>175</v>
      </c>
    </row>
    <row r="16" spans="1:26">
      <c r="A16" t="str">
        <f>A11</f>
        <v>MAN CITY</v>
      </c>
      <c r="B16" s="68" t="s">
        <v>86</v>
      </c>
      <c r="T16" s="68"/>
    </row>
    <row r="17" spans="1:20">
      <c r="A17" t="str">
        <f>A12</f>
        <v>COUNCIL</v>
      </c>
      <c r="B17" s="68" t="s">
        <v>87</v>
      </c>
      <c r="T17" s="68"/>
    </row>
    <row r="18" spans="1:20">
      <c r="A18" t="str">
        <f>A13</f>
        <v>MAN CITY(-)</v>
      </c>
      <c r="B18" s="68" t="s">
        <v>88</v>
      </c>
      <c r="T18" s="68" t="s">
        <v>175</v>
      </c>
    </row>
    <row r="19" spans="1:20">
      <c r="A19" t="str">
        <f>A14</f>
        <v>COUNCIL(+)</v>
      </c>
      <c r="B19" s="68" t="s">
        <v>89</v>
      </c>
      <c r="T19" s="68" t="s">
        <v>175</v>
      </c>
    </row>
    <row r="43" spans="1:2">
      <c r="A43" t="s">
        <v>28</v>
      </c>
      <c r="B43">
        <v>2</v>
      </c>
    </row>
  </sheetData>
  <phoneticPr fontId="6" type="noConversion"/>
  <printOptions headings="1"/>
  <pageMargins left="0.75" right="0.24" top="1" bottom="1" header="0.5" footer="0.5"/>
  <pageSetup paperSize="9" scale="65" orientation="portrait" horizontalDpi="0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16"/>
  <sheetViews>
    <sheetView workbookViewId="0">
      <selection sqref="A1:C16"/>
    </sheetView>
  </sheetViews>
  <sheetFormatPr defaultRowHeight="12.75"/>
  <cols>
    <col min="1" max="1" width="30.5703125" bestFit="1" customWidth="1"/>
    <col min="2" max="2" width="7.5703125" customWidth="1"/>
    <col min="3" max="3" width="48.140625" customWidth="1"/>
  </cols>
  <sheetData>
    <row r="1" spans="1:3" ht="18">
      <c r="A1" s="70" t="s">
        <v>57</v>
      </c>
      <c r="C1" s="71"/>
    </row>
    <row r="2" spans="1:3">
      <c r="B2" t="s">
        <v>93</v>
      </c>
    </row>
    <row r="4" spans="1:3">
      <c r="A4" s="11" t="s">
        <v>8</v>
      </c>
      <c r="B4" s="11"/>
      <c r="C4" s="11"/>
    </row>
    <row r="5" spans="1:3">
      <c r="A5" s="11" t="s">
        <v>136</v>
      </c>
      <c r="B5" s="8">
        <v>0.04</v>
      </c>
      <c r="C5" s="8"/>
    </row>
    <row r="6" spans="1:3" ht="15.75">
      <c r="A6" s="11" t="s">
        <v>137</v>
      </c>
      <c r="B6" s="8">
        <v>0.04</v>
      </c>
      <c r="C6" s="8"/>
    </row>
    <row r="7" spans="1:3">
      <c r="A7" s="11" t="s">
        <v>92</v>
      </c>
      <c r="B7" s="8">
        <v>0.2</v>
      </c>
      <c r="C7" s="8"/>
    </row>
    <row r="8" spans="1:3">
      <c r="A8" s="11" t="s">
        <v>76</v>
      </c>
      <c r="B8" s="72">
        <v>1</v>
      </c>
      <c r="C8" s="72"/>
    </row>
    <row r="9" spans="1:3">
      <c r="A9" s="11" t="s">
        <v>77</v>
      </c>
      <c r="B9" s="72">
        <v>1</v>
      </c>
    </row>
    <row r="10" spans="1:3">
      <c r="A10" s="11"/>
      <c r="B10" s="72"/>
    </row>
    <row r="11" spans="1:3">
      <c r="A11" s="11" t="s">
        <v>9</v>
      </c>
      <c r="B11" s="72"/>
    </row>
    <row r="12" spans="1:3">
      <c r="A12" s="10" t="s">
        <v>178</v>
      </c>
      <c r="B12" s="59">
        <f>(B5-B6+(B7^2)/2+SQRT((B6-B5-(B7^2)/2)^2+2*B6*(B7^2)))/(B7^2)</f>
        <v>2</v>
      </c>
      <c r="C12" s="73" t="s">
        <v>12</v>
      </c>
    </row>
    <row r="13" spans="1:3">
      <c r="A13" s="11" t="s">
        <v>179</v>
      </c>
      <c r="B13" s="72">
        <f>B8*B12/(B12-1)</f>
        <v>2</v>
      </c>
      <c r="C13" s="74" t="s">
        <v>13</v>
      </c>
    </row>
    <row r="14" spans="1:3">
      <c r="A14" s="11" t="s">
        <v>72</v>
      </c>
      <c r="B14" s="72">
        <f>IF(B9&gt;$B$13,B15,($B$13-$B$8)*((B9/$B$13)^$B$12))</f>
        <v>0.25</v>
      </c>
      <c r="C14" s="74" t="s">
        <v>56</v>
      </c>
    </row>
    <row r="15" spans="1:3">
      <c r="A15" s="11" t="s">
        <v>10</v>
      </c>
      <c r="B15" s="72">
        <f>IF(B9-$B$8&gt;0,(B9-$B$8),0)</f>
        <v>0</v>
      </c>
      <c r="C15" s="74" t="s">
        <v>14</v>
      </c>
    </row>
    <row r="16" spans="1:3">
      <c r="A16" s="11" t="s">
        <v>11</v>
      </c>
      <c r="B16" s="75">
        <f>MIN((((B9*($B$12-1))/(($B$8*$B$12)))^($B$12-1)),1)</f>
        <v>0.5</v>
      </c>
      <c r="C16" s="9" t="s">
        <v>15</v>
      </c>
    </row>
  </sheetData>
  <phoneticPr fontId="6" type="noConversion"/>
  <printOptions headings="1"/>
  <pageMargins left="0.75" right="0.75" top="1" bottom="1" header="0.5" footer="0.5"/>
  <pageSetup paperSize="9" scale="95" orientation="portrait" horizontalDpi="0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18"/>
  <sheetViews>
    <sheetView topLeftCell="A4" workbookViewId="0">
      <selection activeCell="A4" sqref="A4"/>
    </sheetView>
  </sheetViews>
  <sheetFormatPr defaultRowHeight="12.75"/>
  <cols>
    <col min="1" max="1" width="30.5703125" bestFit="1" customWidth="1"/>
    <col min="2" max="10" width="7.5703125" customWidth="1"/>
  </cols>
  <sheetData>
    <row r="1" spans="1:10" ht="18">
      <c r="A1" s="70" t="s">
        <v>57</v>
      </c>
      <c r="C1" s="71"/>
      <c r="D1" s="71"/>
      <c r="E1" s="71"/>
      <c r="F1" s="71"/>
      <c r="G1" s="71"/>
      <c r="H1" s="71"/>
      <c r="I1" s="71"/>
      <c r="J1" s="71"/>
    </row>
    <row r="2" spans="1:10">
      <c r="B2" t="s">
        <v>7</v>
      </c>
    </row>
    <row r="4" spans="1:10">
      <c r="A4" s="11" t="s">
        <v>8</v>
      </c>
      <c r="B4" s="11"/>
      <c r="C4" s="11"/>
      <c r="D4" s="11"/>
      <c r="E4" s="11"/>
      <c r="F4" s="11"/>
      <c r="G4" s="11"/>
      <c r="H4" s="11"/>
      <c r="I4" s="11"/>
      <c r="J4" s="11"/>
    </row>
    <row r="5" spans="1:10">
      <c r="A5" s="11" t="s">
        <v>136</v>
      </c>
      <c r="B5" s="8">
        <v>0.04</v>
      </c>
      <c r="C5" s="8"/>
      <c r="D5" s="8"/>
      <c r="E5" s="8"/>
      <c r="F5" s="8"/>
      <c r="G5" s="8"/>
      <c r="H5" s="8"/>
      <c r="I5" s="8"/>
      <c r="J5" s="8"/>
    </row>
    <row r="6" spans="1:10" ht="15.75">
      <c r="A6" s="11" t="s">
        <v>137</v>
      </c>
      <c r="B6" s="8">
        <v>0.04</v>
      </c>
      <c r="C6" s="8"/>
      <c r="D6" s="8"/>
      <c r="E6" s="8"/>
      <c r="F6" s="8"/>
      <c r="G6" s="8"/>
      <c r="H6" s="8"/>
      <c r="I6" s="8"/>
      <c r="J6" s="8"/>
    </row>
    <row r="7" spans="1:10">
      <c r="A7" s="11" t="s">
        <v>92</v>
      </c>
      <c r="B7" s="8">
        <v>0.2</v>
      </c>
      <c r="C7" s="8"/>
      <c r="D7" s="8"/>
      <c r="E7" s="8"/>
      <c r="F7" s="8"/>
      <c r="G7" s="8"/>
      <c r="H7" s="8"/>
      <c r="I7" s="8"/>
      <c r="J7" s="8"/>
    </row>
    <row r="8" spans="1:10">
      <c r="A8" s="11" t="s">
        <v>76</v>
      </c>
      <c r="B8" s="72">
        <v>1</v>
      </c>
      <c r="C8" s="72"/>
      <c r="D8" s="72"/>
      <c r="E8" s="72"/>
      <c r="F8" s="72"/>
      <c r="G8" s="72"/>
      <c r="H8" s="72"/>
      <c r="I8" s="72"/>
      <c r="J8" s="72"/>
    </row>
    <row r="9" spans="1:10">
      <c r="A9" s="11" t="s">
        <v>77</v>
      </c>
      <c r="B9" s="72">
        <v>0</v>
      </c>
      <c r="C9" s="72">
        <f>B9+0.25</f>
        <v>0.25</v>
      </c>
      <c r="D9" s="72">
        <f t="shared" ref="D9:J9" si="0">C9+0.25</f>
        <v>0.5</v>
      </c>
      <c r="E9" s="72">
        <f t="shared" si="0"/>
        <v>0.75</v>
      </c>
      <c r="F9" s="72">
        <f t="shared" si="0"/>
        <v>1</v>
      </c>
      <c r="G9" s="72">
        <f t="shared" si="0"/>
        <v>1.25</v>
      </c>
      <c r="H9" s="72">
        <f t="shared" si="0"/>
        <v>1.5</v>
      </c>
      <c r="I9" s="72">
        <f t="shared" si="0"/>
        <v>1.75</v>
      </c>
      <c r="J9" s="72">
        <f t="shared" si="0"/>
        <v>2</v>
      </c>
    </row>
    <row r="10" spans="1:10">
      <c r="A10" s="11"/>
      <c r="B10" s="72"/>
      <c r="C10" s="72"/>
      <c r="D10" s="72"/>
      <c r="E10" s="72"/>
      <c r="F10" s="72"/>
      <c r="G10" s="72"/>
      <c r="H10" s="72"/>
      <c r="I10" s="72"/>
      <c r="J10" s="72"/>
    </row>
    <row r="11" spans="1:10">
      <c r="A11" s="11" t="s">
        <v>9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>
      <c r="A12" s="10" t="s">
        <v>178</v>
      </c>
      <c r="B12" s="59">
        <f>(B5-B6+(B7^2)/2+SQRT((B6-B5-(B7^2)/2)^2+2*B6*(B7^2)))/(B7^2)</f>
        <v>2</v>
      </c>
      <c r="C12" s="72"/>
      <c r="D12" s="72"/>
      <c r="E12" s="72"/>
      <c r="F12" s="72"/>
      <c r="G12" s="72"/>
      <c r="H12" s="72"/>
      <c r="I12" s="72"/>
      <c r="J12" s="72"/>
    </row>
    <row r="13" spans="1:10">
      <c r="A13" s="11" t="s">
        <v>179</v>
      </c>
      <c r="B13" s="72">
        <f>B8*B12/(B12-1)</f>
        <v>2</v>
      </c>
      <c r="C13" s="72"/>
      <c r="D13" s="72"/>
      <c r="E13" s="72"/>
      <c r="F13" s="72"/>
      <c r="G13" s="72"/>
      <c r="H13" s="72"/>
      <c r="I13" s="72"/>
      <c r="J13" s="72"/>
    </row>
    <row r="14" spans="1:10">
      <c r="A14" s="11" t="s">
        <v>72</v>
      </c>
      <c r="B14" s="72">
        <f t="shared" ref="B14:J14" si="1">IF(B9&gt;$B$13,B15,($B$13-$B$8)*((B9/$B$13)^$B$12))</f>
        <v>0</v>
      </c>
      <c r="C14" s="72">
        <f t="shared" si="1"/>
        <v>1.5625E-2</v>
      </c>
      <c r="D14" s="72">
        <f t="shared" si="1"/>
        <v>6.25E-2</v>
      </c>
      <c r="E14" s="72">
        <f t="shared" si="1"/>
        <v>0.140625</v>
      </c>
      <c r="F14" s="72">
        <f t="shared" si="1"/>
        <v>0.25</v>
      </c>
      <c r="G14" s="72">
        <f t="shared" si="1"/>
        <v>0.390625</v>
      </c>
      <c r="H14" s="72">
        <f t="shared" si="1"/>
        <v>0.5625</v>
      </c>
      <c r="I14" s="72">
        <f t="shared" si="1"/>
        <v>0.765625</v>
      </c>
      <c r="J14" s="72">
        <f t="shared" si="1"/>
        <v>1</v>
      </c>
    </row>
    <row r="15" spans="1:10">
      <c r="A15" s="11" t="s">
        <v>10</v>
      </c>
      <c r="B15" s="72">
        <f t="shared" ref="B15:J15" si="2">IF(B9-$B$8&gt;0,(B9-$B$8),0)</f>
        <v>0</v>
      </c>
      <c r="C15" s="72">
        <f t="shared" si="2"/>
        <v>0</v>
      </c>
      <c r="D15" s="72">
        <f t="shared" si="2"/>
        <v>0</v>
      </c>
      <c r="E15" s="72">
        <f t="shared" si="2"/>
        <v>0</v>
      </c>
      <c r="F15" s="72">
        <f t="shared" si="2"/>
        <v>0</v>
      </c>
      <c r="G15" s="72">
        <f t="shared" si="2"/>
        <v>0.25</v>
      </c>
      <c r="H15" s="72">
        <f t="shared" si="2"/>
        <v>0.5</v>
      </c>
      <c r="I15" s="72">
        <f t="shared" si="2"/>
        <v>0.75</v>
      </c>
      <c r="J15" s="72">
        <f t="shared" si="2"/>
        <v>1</v>
      </c>
    </row>
    <row r="16" spans="1:10">
      <c r="A16" s="11" t="s">
        <v>11</v>
      </c>
      <c r="B16" s="75">
        <f t="shared" ref="B16:J16" si="3">MIN((((B9*($B$12-1))/(($B$8*$B$12)))^($B$12-1)),1)</f>
        <v>0</v>
      </c>
      <c r="C16" s="75">
        <f t="shared" si="3"/>
        <v>0.125</v>
      </c>
      <c r="D16" s="75">
        <f t="shared" si="3"/>
        <v>0.25</v>
      </c>
      <c r="E16" s="75">
        <f t="shared" si="3"/>
        <v>0.375</v>
      </c>
      <c r="F16" s="75">
        <f t="shared" si="3"/>
        <v>0.5</v>
      </c>
      <c r="G16" s="75">
        <f t="shared" si="3"/>
        <v>0.625</v>
      </c>
      <c r="H16" s="75">
        <f t="shared" si="3"/>
        <v>0.75</v>
      </c>
      <c r="I16" s="75">
        <f t="shared" si="3"/>
        <v>0.875</v>
      </c>
      <c r="J16" s="75">
        <f t="shared" si="3"/>
        <v>1</v>
      </c>
    </row>
    <row r="17" spans="1:10">
      <c r="A17" s="27" t="str">
        <f>A14</f>
        <v>DEVELOPMENT OPTION VALUE</v>
      </c>
      <c r="B17" s="76" t="s">
        <v>56</v>
      </c>
      <c r="C17" s="11"/>
      <c r="D17" s="11"/>
      <c r="E17" s="11"/>
      <c r="F17" s="11"/>
      <c r="G17" s="11"/>
      <c r="H17" s="11"/>
      <c r="I17" s="11"/>
      <c r="J17" s="11"/>
    </row>
    <row r="18" spans="1:10">
      <c r="A18" s="27" t="str">
        <f>A16</f>
        <v>DELTA</v>
      </c>
      <c r="B18" s="77" t="s">
        <v>15</v>
      </c>
      <c r="C18" s="11"/>
      <c r="D18" s="11"/>
      <c r="E18" s="11"/>
      <c r="F18" s="11"/>
      <c r="G18" s="11"/>
      <c r="H18" s="11"/>
      <c r="I18" s="11"/>
      <c r="J18" s="11"/>
    </row>
  </sheetData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17"/>
  <sheetViews>
    <sheetView workbookViewId="0">
      <selection sqref="A1:J46"/>
    </sheetView>
  </sheetViews>
  <sheetFormatPr defaultRowHeight="12.75"/>
  <cols>
    <col min="1" max="1" width="30.5703125" bestFit="1" customWidth="1"/>
    <col min="2" max="2" width="7.5703125" customWidth="1"/>
    <col min="3" max="10" width="8.5703125" customWidth="1"/>
  </cols>
  <sheetData>
    <row r="1" spans="1:10" ht="18">
      <c r="A1" s="70" t="s">
        <v>57</v>
      </c>
      <c r="C1" s="71"/>
      <c r="D1" s="71"/>
      <c r="E1" s="71"/>
      <c r="F1" s="71"/>
      <c r="G1" s="71"/>
      <c r="H1" s="71"/>
      <c r="I1" s="71"/>
      <c r="J1" s="71"/>
    </row>
    <row r="2" spans="1:10">
      <c r="B2" t="s">
        <v>7</v>
      </c>
    </row>
    <row r="4" spans="1:10">
      <c r="A4" s="11" t="s">
        <v>8</v>
      </c>
      <c r="B4" s="11"/>
      <c r="C4" s="11"/>
      <c r="D4" s="11"/>
      <c r="E4" s="11"/>
      <c r="F4" s="11"/>
      <c r="G4" s="11"/>
      <c r="H4" s="11"/>
      <c r="I4" s="11"/>
      <c r="J4" s="11"/>
    </row>
    <row r="5" spans="1:10">
      <c r="A5" s="11" t="s">
        <v>136</v>
      </c>
      <c r="B5" s="8">
        <v>0.04</v>
      </c>
      <c r="C5" s="8"/>
      <c r="D5" s="8"/>
      <c r="E5" s="8"/>
      <c r="F5" s="8"/>
      <c r="G5" s="8"/>
      <c r="H5" s="8"/>
      <c r="I5" s="8"/>
      <c r="J5" s="8"/>
    </row>
    <row r="6" spans="1:10" ht="15.75">
      <c r="A6" s="11" t="s">
        <v>137</v>
      </c>
      <c r="B6" s="8">
        <v>0.04</v>
      </c>
      <c r="C6" s="8"/>
      <c r="D6" s="8"/>
      <c r="E6" s="8"/>
      <c r="F6" s="8"/>
      <c r="G6" s="8"/>
      <c r="H6" s="8"/>
      <c r="I6" s="8"/>
      <c r="J6" s="8"/>
    </row>
    <row r="7" spans="1:10">
      <c r="A7" s="11" t="s">
        <v>70</v>
      </c>
      <c r="B7" s="78">
        <v>0.05</v>
      </c>
      <c r="C7" s="78">
        <f>B7+0.025</f>
        <v>7.5000000000000011E-2</v>
      </c>
      <c r="D7" s="78">
        <f t="shared" ref="D7:J7" si="0">C7+0.025</f>
        <v>0.1</v>
      </c>
      <c r="E7" s="78">
        <f t="shared" si="0"/>
        <v>0.125</v>
      </c>
      <c r="F7" s="78">
        <f t="shared" si="0"/>
        <v>0.15</v>
      </c>
      <c r="G7" s="78">
        <f t="shared" si="0"/>
        <v>0.17499999999999999</v>
      </c>
      <c r="H7" s="78">
        <f t="shared" si="0"/>
        <v>0.19999999999999998</v>
      </c>
      <c r="I7" s="78">
        <f t="shared" si="0"/>
        <v>0.22499999999999998</v>
      </c>
      <c r="J7" s="78">
        <f t="shared" si="0"/>
        <v>0.24999999999999997</v>
      </c>
    </row>
    <row r="8" spans="1:10">
      <c r="A8" s="11" t="s">
        <v>5</v>
      </c>
      <c r="B8" s="72">
        <v>1</v>
      </c>
      <c r="C8" s="72"/>
      <c r="D8" s="72"/>
      <c r="E8" s="72"/>
      <c r="F8" s="72"/>
      <c r="G8" s="72"/>
      <c r="H8" s="72"/>
      <c r="I8" s="72"/>
      <c r="J8" s="72"/>
    </row>
    <row r="9" spans="1:10">
      <c r="A9" s="11" t="s">
        <v>71</v>
      </c>
      <c r="B9" s="72">
        <v>1</v>
      </c>
      <c r="C9" s="72" t="s">
        <v>175</v>
      </c>
      <c r="D9" s="72" t="s">
        <v>175</v>
      </c>
      <c r="E9" s="72" t="s">
        <v>175</v>
      </c>
      <c r="F9" s="72" t="s">
        <v>175</v>
      </c>
      <c r="G9" s="72" t="s">
        <v>175</v>
      </c>
      <c r="H9" s="72" t="s">
        <v>175</v>
      </c>
      <c r="I9" s="72" t="s">
        <v>175</v>
      </c>
      <c r="J9" s="72" t="s">
        <v>175</v>
      </c>
    </row>
    <row r="10" spans="1:10">
      <c r="A10" s="11"/>
      <c r="B10" s="72"/>
      <c r="C10" s="72"/>
      <c r="D10" s="72"/>
      <c r="E10" s="72"/>
      <c r="F10" s="72"/>
      <c r="G10" s="72"/>
      <c r="H10" s="72"/>
      <c r="I10" s="72"/>
      <c r="J10" s="72"/>
    </row>
    <row r="11" spans="1:10">
      <c r="A11" s="11" t="s">
        <v>9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>
      <c r="A12" s="10" t="s">
        <v>178</v>
      </c>
      <c r="B12" s="72">
        <f>($B$5-$B$6+(B7^2)/2+SQRT(($B$6-$B$5-(B7^2)/2)^2+2*$B$6*(B7^2)))/(B7^2)</f>
        <v>6.1789083458002727</v>
      </c>
      <c r="C12" s="72">
        <f t="shared" ref="C12:J12" si="1">($B$5-$B$6+(C7^2)/2+SQRT(($B$6-$B$5-(C7^2)/2)^2+2*$B$6*(C7^2)))/(C7^2)</f>
        <v>4.304237403504442</v>
      </c>
      <c r="D12" s="72">
        <f t="shared" si="1"/>
        <v>3.3722813232690143</v>
      </c>
      <c r="E12" s="72">
        <f t="shared" si="1"/>
        <v>2.8173260452512934</v>
      </c>
      <c r="F12" s="72">
        <f t="shared" si="1"/>
        <v>2.4507833184532708</v>
      </c>
      <c r="G12" s="72">
        <f t="shared" si="1"/>
        <v>2.1918170403324302</v>
      </c>
      <c r="H12" s="72">
        <f t="shared" si="1"/>
        <v>2</v>
      </c>
      <c r="I12" s="72">
        <f t="shared" si="1"/>
        <v>1.8528661846539913</v>
      </c>
      <c r="J12" s="72">
        <f t="shared" si="1"/>
        <v>1.7369316876852983</v>
      </c>
    </row>
    <row r="13" spans="1:10">
      <c r="A13" s="11" t="s">
        <v>179</v>
      </c>
      <c r="B13" s="72">
        <f>$B$8*B12/(B12-1)</f>
        <v>1.1930908858062585</v>
      </c>
      <c r="C13" s="72">
        <f t="shared" ref="C13:J13" si="2">$B$8*C12/(C12-1)</f>
        <v>1.3026416924339062</v>
      </c>
      <c r="D13" s="72">
        <f t="shared" si="2"/>
        <v>1.4215351654086268</v>
      </c>
      <c r="E13" s="72">
        <f t="shared" si="2"/>
        <v>1.5502589932131432</v>
      </c>
      <c r="F13" s="72">
        <f t="shared" si="2"/>
        <v>1.6892828083149825</v>
      </c>
      <c r="G13" s="72">
        <f t="shared" si="2"/>
        <v>1.8390549607522584</v>
      </c>
      <c r="H13" s="72">
        <f t="shared" si="2"/>
        <v>2</v>
      </c>
      <c r="I13" s="72">
        <f t="shared" si="2"/>
        <v>2.1725168824763537</v>
      </c>
      <c r="J13" s="72">
        <f t="shared" si="2"/>
        <v>2.3569778810041391</v>
      </c>
    </row>
    <row r="14" spans="1:10">
      <c r="A14" s="11" t="s">
        <v>3</v>
      </c>
      <c r="B14" s="72">
        <f>IF(B9&gt;B13,B17,(B13-$B$8)*(($B$9/$B$13)^B12))</f>
        <v>6.4863902219186337E-2</v>
      </c>
      <c r="C14" s="72">
        <f t="shared" ref="C14:J14" si="3">IF($B$9&gt;C13,C17,(C13-$B$8)*(($B$9/$B$13)^C12))</f>
        <v>0.14154928811419976</v>
      </c>
      <c r="D14" s="72">
        <f t="shared" si="3"/>
        <v>0.23241764886759797</v>
      </c>
      <c r="E14" s="72">
        <f t="shared" si="3"/>
        <v>0.3346207140168172</v>
      </c>
      <c r="F14" s="72">
        <f t="shared" si="3"/>
        <v>0.44718501607925448</v>
      </c>
      <c r="G14" s="72">
        <f t="shared" si="3"/>
        <v>0.56981786875594709</v>
      </c>
      <c r="H14" s="72">
        <f t="shared" si="3"/>
        <v>0.70251070070603727</v>
      </c>
      <c r="I14" s="72">
        <f t="shared" si="3"/>
        <v>0.84538262417060916</v>
      </c>
      <c r="J14" s="72">
        <f t="shared" si="3"/>
        <v>0.99861040785518929</v>
      </c>
    </row>
    <row r="15" spans="1:10">
      <c r="A15" s="11" t="s">
        <v>11</v>
      </c>
      <c r="B15" s="75">
        <f>MIN(((($B$9*(B12-1))/(($B$8*B12)))^(B12-1)),1)</f>
        <v>0.40078810676330334</v>
      </c>
      <c r="C15" s="75">
        <f t="shared" ref="C15:J15" si="4">MIN(((($B$9*(C12-1))/(($B$8*C12)))^(C12-1)),1)</f>
        <v>0.41743708174535205</v>
      </c>
      <c r="D15" s="75">
        <f t="shared" si="4"/>
        <v>0.43412618378359819</v>
      </c>
      <c r="E15" s="75">
        <f t="shared" si="4"/>
        <v>0.45078907291174003</v>
      </c>
      <c r="F15" s="75">
        <f t="shared" si="4"/>
        <v>0.46736179883489865</v>
      </c>
      <c r="G15" s="75">
        <f t="shared" si="4"/>
        <v>0.48378401855956116</v>
      </c>
      <c r="H15" s="75">
        <f t="shared" si="4"/>
        <v>0.5</v>
      </c>
      <c r="I15" s="75">
        <f t="shared" si="4"/>
        <v>0.51595938373168659</v>
      </c>
      <c r="J15" s="75">
        <f t="shared" si="4"/>
        <v>0.53161769472914411</v>
      </c>
    </row>
    <row r="16" spans="1:10">
      <c r="A16" s="11"/>
      <c r="B16" s="75"/>
      <c r="C16" s="75"/>
      <c r="D16" s="75"/>
      <c r="E16" s="75"/>
      <c r="F16" s="75"/>
      <c r="G16" s="75"/>
      <c r="H16" s="75"/>
      <c r="I16" s="75"/>
      <c r="J16" s="75"/>
    </row>
    <row r="17" spans="1:10">
      <c r="A17" s="11" t="s">
        <v>10</v>
      </c>
      <c r="B17" s="72">
        <f>IF($B$9-$B$8&gt;0,($B$9-$B$8),0)</f>
        <v>0</v>
      </c>
      <c r="C17" s="72">
        <f>IF($B$9-$B$8&gt;0,($B$9-$B$8),0)</f>
        <v>0</v>
      </c>
      <c r="D17" s="72">
        <f t="shared" ref="D17:J17" si="5">IF($B$9-$B$8&gt;0,($B$9-$B$8),0)</f>
        <v>0</v>
      </c>
      <c r="E17" s="72">
        <f t="shared" si="5"/>
        <v>0</v>
      </c>
      <c r="F17" s="72">
        <f t="shared" si="5"/>
        <v>0</v>
      </c>
      <c r="G17" s="72">
        <f t="shared" si="5"/>
        <v>0</v>
      </c>
      <c r="H17" s="72">
        <f t="shared" si="5"/>
        <v>0</v>
      </c>
      <c r="I17" s="72">
        <f t="shared" si="5"/>
        <v>0</v>
      </c>
      <c r="J17" s="72">
        <f t="shared" si="5"/>
        <v>0</v>
      </c>
    </row>
  </sheetData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50"/>
  <sheetViews>
    <sheetView topLeftCell="A7" workbookViewId="0">
      <selection activeCell="A7" sqref="A7"/>
    </sheetView>
  </sheetViews>
  <sheetFormatPr defaultRowHeight="12.75"/>
  <cols>
    <col min="2" max="3" width="10.7109375" customWidth="1"/>
    <col min="11" max="11" width="40" bestFit="1" customWidth="1"/>
  </cols>
  <sheetData>
    <row r="1" spans="1:11" ht="15.75">
      <c r="A1" s="17" t="s">
        <v>74</v>
      </c>
      <c r="B1" s="17"/>
      <c r="C1" s="17"/>
      <c r="D1" s="17"/>
      <c r="E1" s="17"/>
      <c r="F1" s="17"/>
      <c r="G1" s="17"/>
      <c r="H1" s="17"/>
      <c r="I1" s="17"/>
      <c r="J1" s="17"/>
    </row>
    <row r="3" spans="1:11" ht="18">
      <c r="A3" s="49" t="s">
        <v>58</v>
      </c>
      <c r="B3" s="49"/>
      <c r="C3" s="49"/>
      <c r="D3" s="49"/>
      <c r="E3" s="49"/>
      <c r="F3" s="49"/>
      <c r="G3" s="49"/>
      <c r="H3" s="49"/>
      <c r="I3" s="49"/>
      <c r="J3" s="49"/>
    </row>
    <row r="4" spans="1:11">
      <c r="A4" s="79" t="s">
        <v>184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</row>
    <row r="5" spans="1:11">
      <c r="A5" t="s">
        <v>0</v>
      </c>
      <c r="B5" s="3">
        <v>1</v>
      </c>
      <c r="C5" s="3">
        <f>B5</f>
        <v>1</v>
      </c>
      <c r="D5" s="3">
        <f t="shared" ref="D5:J5" si="0">C5</f>
        <v>1</v>
      </c>
      <c r="E5" s="3">
        <f t="shared" si="0"/>
        <v>1</v>
      </c>
      <c r="F5" s="3">
        <f t="shared" si="0"/>
        <v>1</v>
      </c>
      <c r="G5" s="3">
        <f t="shared" si="0"/>
        <v>1</v>
      </c>
      <c r="H5" s="3">
        <f t="shared" si="0"/>
        <v>1</v>
      </c>
      <c r="I5" s="3">
        <f t="shared" si="0"/>
        <v>1</v>
      </c>
      <c r="J5" s="3">
        <f t="shared" si="0"/>
        <v>1</v>
      </c>
    </row>
    <row r="6" spans="1:11">
      <c r="A6" t="s">
        <v>31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</row>
    <row r="7" spans="1:11">
      <c r="A7" s="1" t="s">
        <v>4</v>
      </c>
      <c r="B7" s="3">
        <v>0.2</v>
      </c>
      <c r="C7" s="3">
        <f t="shared" ref="C7:J9" si="1">B7</f>
        <v>0.2</v>
      </c>
      <c r="D7" s="3">
        <f t="shared" si="1"/>
        <v>0.2</v>
      </c>
      <c r="E7" s="3">
        <f t="shared" si="1"/>
        <v>0.2</v>
      </c>
      <c r="F7" s="3">
        <f t="shared" si="1"/>
        <v>0.2</v>
      </c>
      <c r="G7" s="3">
        <f t="shared" si="1"/>
        <v>0.2</v>
      </c>
      <c r="H7" s="3">
        <f t="shared" si="1"/>
        <v>0.2</v>
      </c>
      <c r="I7" s="3">
        <f t="shared" si="1"/>
        <v>0.2</v>
      </c>
      <c r="J7" s="3">
        <f t="shared" si="1"/>
        <v>0.2</v>
      </c>
    </row>
    <row r="8" spans="1:11">
      <c r="A8" s="79" t="s">
        <v>1</v>
      </c>
      <c r="B8" s="80">
        <v>0.02</v>
      </c>
      <c r="C8" s="80">
        <f>B8+0.005</f>
        <v>2.5000000000000001E-2</v>
      </c>
      <c r="D8" s="80">
        <f t="shared" ref="D8:J8" si="2">C8+0.005</f>
        <v>3.0000000000000002E-2</v>
      </c>
      <c r="E8" s="80">
        <f t="shared" si="2"/>
        <v>3.5000000000000003E-2</v>
      </c>
      <c r="F8" s="80">
        <f t="shared" si="2"/>
        <v>0.04</v>
      </c>
      <c r="G8" s="80">
        <f t="shared" si="2"/>
        <v>4.4999999999999998E-2</v>
      </c>
      <c r="H8" s="80">
        <f t="shared" si="2"/>
        <v>4.9999999999999996E-2</v>
      </c>
      <c r="I8" s="80">
        <f t="shared" si="2"/>
        <v>5.4999999999999993E-2</v>
      </c>
      <c r="J8" s="80">
        <f t="shared" si="2"/>
        <v>5.9999999999999991E-2</v>
      </c>
    </row>
    <row r="9" spans="1:11">
      <c r="A9" s="1" t="s">
        <v>249</v>
      </c>
      <c r="B9">
        <v>0.04</v>
      </c>
      <c r="C9">
        <f t="shared" si="1"/>
        <v>0.04</v>
      </c>
      <c r="D9">
        <f t="shared" si="1"/>
        <v>0.04</v>
      </c>
      <c r="E9">
        <f t="shared" si="1"/>
        <v>0.04</v>
      </c>
      <c r="F9">
        <f t="shared" si="1"/>
        <v>0.04</v>
      </c>
      <c r="G9" s="3">
        <f t="shared" si="1"/>
        <v>0.04</v>
      </c>
      <c r="H9" s="3">
        <f t="shared" si="1"/>
        <v>0.04</v>
      </c>
      <c r="I9" s="3">
        <f t="shared" si="1"/>
        <v>0.04</v>
      </c>
      <c r="J9" s="3">
        <f t="shared" si="1"/>
        <v>0.04</v>
      </c>
    </row>
    <row r="10" spans="1:11">
      <c r="A10" s="79" t="s">
        <v>188</v>
      </c>
    </row>
    <row r="11" spans="1:11">
      <c r="A11" t="s">
        <v>75</v>
      </c>
      <c r="B11" s="3">
        <f>IF(B5&lt;B14,B15*(B5^B16),B12)</f>
        <v>0.19442768285708267</v>
      </c>
      <c r="C11" s="3">
        <f t="shared" ref="C11:J11" si="3">IF(C5&lt;C14,C15*(C5^C16),C12)</f>
        <v>0.2077116735186976</v>
      </c>
      <c r="D11" s="3">
        <f t="shared" si="3"/>
        <v>0.22148883734991726</v>
      </c>
      <c r="E11" s="3">
        <f t="shared" si="3"/>
        <v>0.23562979124734945</v>
      </c>
      <c r="F11" s="3">
        <f t="shared" si="3"/>
        <v>0.25000000000000006</v>
      </c>
      <c r="G11" s="3">
        <f t="shared" si="3"/>
        <v>0.26446883388207576</v>
      </c>
      <c r="H11" s="3">
        <f t="shared" si="3"/>
        <v>0.27891679653772417</v>
      </c>
      <c r="I11" s="3">
        <f t="shared" si="3"/>
        <v>0.29324023055242654</v>
      </c>
      <c r="J11" s="3">
        <f t="shared" si="3"/>
        <v>0.30735350239315212</v>
      </c>
      <c r="K11" s="16" t="s">
        <v>59</v>
      </c>
    </row>
    <row r="12" spans="1:11">
      <c r="A12" t="s">
        <v>32</v>
      </c>
      <c r="B12" s="3">
        <f t="shared" ref="B12:H12" si="4">B5-B6</f>
        <v>0</v>
      </c>
      <c r="C12" s="3">
        <f t="shared" si="4"/>
        <v>0</v>
      </c>
      <c r="D12" s="3">
        <f t="shared" si="4"/>
        <v>0</v>
      </c>
      <c r="E12" s="3">
        <f t="shared" si="4"/>
        <v>0</v>
      </c>
      <c r="F12" s="3">
        <f t="shared" si="4"/>
        <v>0</v>
      </c>
      <c r="G12" s="3">
        <f t="shared" si="4"/>
        <v>0</v>
      </c>
      <c r="H12" s="3">
        <f t="shared" si="4"/>
        <v>0</v>
      </c>
      <c r="I12" s="3">
        <f>I5-I6</f>
        <v>0</v>
      </c>
      <c r="J12" s="3">
        <f>J5-J6</f>
        <v>0</v>
      </c>
      <c r="K12" s="16" t="s">
        <v>60</v>
      </c>
    </row>
    <row r="13" spans="1:11">
      <c r="A13" t="s">
        <v>139</v>
      </c>
      <c r="B13" s="3">
        <f t="shared" ref="B13:J13" si="5">B15*B16*(B5^(B16-1))</f>
        <v>0.46938994885434387</v>
      </c>
      <c r="C13" s="3">
        <f t="shared" si="5"/>
        <v>0.47664160339522865</v>
      </c>
      <c r="D13" s="3">
        <f t="shared" si="5"/>
        <v>0.48420575342880573</v>
      </c>
      <c r="E13" s="3">
        <f t="shared" si="5"/>
        <v>0.49201561910156022</v>
      </c>
      <c r="F13" s="3">
        <f t="shared" si="5"/>
        <v>0.5</v>
      </c>
      <c r="G13" s="3">
        <f t="shared" si="5"/>
        <v>0.5080881639981768</v>
      </c>
      <c r="H13" s="3">
        <f t="shared" si="5"/>
        <v>0.51621392416888801</v>
      </c>
      <c r="I13" s="3">
        <f t="shared" si="5"/>
        <v>0.52431846950067373</v>
      </c>
      <c r="J13" s="3">
        <f t="shared" si="5"/>
        <v>0.53235188202918193</v>
      </c>
      <c r="K13" s="16" t="s">
        <v>61</v>
      </c>
    </row>
    <row r="14" spans="1:11">
      <c r="A14" t="s">
        <v>179</v>
      </c>
      <c r="B14" s="3">
        <f t="shared" ref="B14:H14" si="6">(B16/(B16-1))*B6</f>
        <v>1.7071067811865477</v>
      </c>
      <c r="C14" s="3">
        <f t="shared" si="6"/>
        <v>1.7723635432250344</v>
      </c>
      <c r="D14" s="3">
        <f t="shared" si="6"/>
        <v>1.8430703308172538</v>
      </c>
      <c r="E14" s="3">
        <f t="shared" si="6"/>
        <v>1.9190437444199768</v>
      </c>
      <c r="F14" s="3">
        <f t="shared" si="6"/>
        <v>2.0000000000000004</v>
      </c>
      <c r="G14" s="3">
        <f t="shared" si="6"/>
        <v>2.0855823048033115</v>
      </c>
      <c r="H14" s="3">
        <f t="shared" si="6"/>
        <v>2.1753905296791061</v>
      </c>
      <c r="I14" s="3">
        <f>(I16/(I16-1))*I6</f>
        <v>2.2690084184781294</v>
      </c>
      <c r="J14" s="3">
        <f>(J16/(J16-1))*J6</f>
        <v>2.3660254037844388</v>
      </c>
      <c r="K14" s="16" t="s">
        <v>62</v>
      </c>
    </row>
    <row r="15" spans="1:11">
      <c r="A15" t="s">
        <v>189</v>
      </c>
      <c r="B15" s="3">
        <f t="shared" ref="B15:H15" si="7">(B14-B6)/(B14^B16)</f>
        <v>0.19442768285708267</v>
      </c>
      <c r="C15" s="3">
        <f t="shared" si="7"/>
        <v>0.2077116735186976</v>
      </c>
      <c r="D15" s="3">
        <f t="shared" si="7"/>
        <v>0.22148883734991726</v>
      </c>
      <c r="E15" s="3">
        <f t="shared" si="7"/>
        <v>0.23562979124734945</v>
      </c>
      <c r="F15" s="3">
        <f t="shared" si="7"/>
        <v>0.25000000000000006</v>
      </c>
      <c r="G15" s="3">
        <f t="shared" si="7"/>
        <v>0.26446883388207576</v>
      </c>
      <c r="H15" s="3">
        <f t="shared" si="7"/>
        <v>0.27891679653772417</v>
      </c>
      <c r="I15" s="3">
        <f>(I14-I6)/(I14^I16)</f>
        <v>0.29324023055242654</v>
      </c>
      <c r="J15" s="3">
        <f>(J14-J6)/(J14^J16)</f>
        <v>0.30735350239315212</v>
      </c>
      <c r="K15" s="16" t="s">
        <v>63</v>
      </c>
    </row>
    <row r="16" spans="1:11">
      <c r="A16" s="1" t="s">
        <v>190</v>
      </c>
      <c r="B16" s="3">
        <f>0.5-(B8-B9)/(B7^2)+SQRT(((B8-B9)/(B7^2)-0.5)^2 + (2*B8)/(B7^2))</f>
        <v>2.4142135623730949</v>
      </c>
      <c r="C16" s="3">
        <f t="shared" ref="C16:H16" si="8">0.5-(C8-C9)/(C7^2)+SQRT(((C8-C9)/(C7^2)-0.5)^2 + 2*C8/(C7^2))</f>
        <v>2.294727086450068</v>
      </c>
      <c r="D16" s="3">
        <f t="shared" si="8"/>
        <v>2.1861406616345067</v>
      </c>
      <c r="E16" s="3">
        <f t="shared" si="8"/>
        <v>2.0880874888399528</v>
      </c>
      <c r="F16" s="3">
        <f t="shared" si="8"/>
        <v>1.9999999999999998</v>
      </c>
      <c r="G16" s="3">
        <f t="shared" si="8"/>
        <v>1.9211646096066226</v>
      </c>
      <c r="H16" s="3">
        <f t="shared" si="8"/>
        <v>1.8507810593582121</v>
      </c>
      <c r="I16" s="3">
        <f>0.5-(I8-I9)/(I7^2)+SQRT(((I8-I9)/(I7^2)-0.5)^2 + 2*I8/(I7^2))</f>
        <v>1.7880168369562588</v>
      </c>
      <c r="J16" s="3">
        <f>0.5-(J8-J9)/(J7^2)+SQRT(((J8-J9)/(J7^2)-0.5)^2 + 2*J8/(J7^2))</f>
        <v>1.7320508075688772</v>
      </c>
      <c r="K16" s="5"/>
    </row>
    <row r="17" spans="1:11">
      <c r="A17" s="1" t="s">
        <v>37</v>
      </c>
      <c r="I17" s="16" t="s">
        <v>64</v>
      </c>
      <c r="K17" s="5"/>
    </row>
    <row r="18" spans="1:11">
      <c r="A18" t="s">
        <v>238</v>
      </c>
      <c r="B18" s="3">
        <f t="shared" ref="B18:J18" si="9">0.5*(B7^2)*(B5^2)*B19+(B8-B9)*B5*B13-B8*B11</f>
        <v>0</v>
      </c>
      <c r="C18" s="3">
        <f t="shared" si="9"/>
        <v>0</v>
      </c>
      <c r="D18" s="3">
        <f t="shared" si="9"/>
        <v>0</v>
      </c>
      <c r="E18" s="3">
        <f t="shared" si="9"/>
        <v>0</v>
      </c>
      <c r="F18" s="3">
        <f t="shared" si="9"/>
        <v>0</v>
      </c>
      <c r="G18" s="3">
        <f t="shared" si="9"/>
        <v>0</v>
      </c>
      <c r="H18" s="3">
        <f t="shared" si="9"/>
        <v>0</v>
      </c>
      <c r="I18" s="3">
        <f t="shared" si="9"/>
        <v>0</v>
      </c>
      <c r="J18" s="3">
        <f t="shared" si="9"/>
        <v>0</v>
      </c>
      <c r="K18" s="16" t="s">
        <v>65</v>
      </c>
    </row>
    <row r="19" spans="1:11">
      <c r="A19" t="s">
        <v>138</v>
      </c>
      <c r="B19" s="3">
        <f>B15*B16*(B16-1)*(B5^(B16-2))</f>
        <v>0.66381763171142649</v>
      </c>
      <c r="C19" s="3">
        <f t="shared" ref="C19:J19" si="10">C15*C16*(C16-1)*(C5^(C16-2))</f>
        <v>0.61712079444479317</v>
      </c>
      <c r="D19" s="3">
        <f t="shared" si="10"/>
        <v>0.57433613273927842</v>
      </c>
      <c r="E19" s="3">
        <f t="shared" si="10"/>
        <v>0.53535603945825139</v>
      </c>
      <c r="F19" s="3">
        <f t="shared" si="10"/>
        <v>0.49999999999999989</v>
      </c>
      <c r="G19" s="3">
        <f t="shared" si="10"/>
        <v>0.46803283523512618</v>
      </c>
      <c r="H19" s="3">
        <f t="shared" si="10"/>
        <v>0.4391850292598663</v>
      </c>
      <c r="I19" s="3">
        <f t="shared" si="10"/>
        <v>0.41317178189366754</v>
      </c>
      <c r="J19" s="3">
        <f t="shared" si="10"/>
        <v>0.38970862515027427</v>
      </c>
      <c r="K19" s="16" t="s">
        <v>66</v>
      </c>
    </row>
    <row r="20" spans="1:11">
      <c r="A20" t="s">
        <v>35</v>
      </c>
      <c r="B20" s="3">
        <f>B15*B16*(B14^(B16-1))</f>
        <v>1</v>
      </c>
      <c r="C20" s="3">
        <f t="shared" ref="C20:J20" si="11">C15*C16*(C14^(C16-1))</f>
        <v>0.99999999999999989</v>
      </c>
      <c r="D20" s="3">
        <f t="shared" si="11"/>
        <v>1</v>
      </c>
      <c r="E20" s="3">
        <f t="shared" si="11"/>
        <v>1</v>
      </c>
      <c r="F20" s="3">
        <f t="shared" si="11"/>
        <v>1</v>
      </c>
      <c r="G20" s="3">
        <f t="shared" si="11"/>
        <v>1</v>
      </c>
      <c r="H20" s="3">
        <f t="shared" si="11"/>
        <v>0.99999999999999989</v>
      </c>
      <c r="I20" s="3">
        <f t="shared" si="11"/>
        <v>0.99999999999999989</v>
      </c>
      <c r="J20" s="3">
        <f t="shared" si="11"/>
        <v>0.99999999999999967</v>
      </c>
      <c r="K20" s="16" t="s">
        <v>67</v>
      </c>
    </row>
    <row r="21" spans="1:11">
      <c r="A21" t="s">
        <v>36</v>
      </c>
      <c r="B21" s="3">
        <f>IF(B5&lt;B14,B15*(B14^B16),B12)</f>
        <v>0.70710678118654768</v>
      </c>
      <c r="C21" s="3">
        <f t="shared" ref="C21:J21" si="12">IF(C5&lt;C14,C15*(C14^C16),C12)</f>
        <v>0.77236354322503442</v>
      </c>
      <c r="D21" s="3">
        <f t="shared" si="12"/>
        <v>0.8430703308172538</v>
      </c>
      <c r="E21" s="3">
        <f t="shared" si="12"/>
        <v>0.91904374441997683</v>
      </c>
      <c r="F21" s="3">
        <f t="shared" si="12"/>
        <v>1.0000000000000004</v>
      </c>
      <c r="G21" s="3">
        <f t="shared" si="12"/>
        <v>1.0855823048033115</v>
      </c>
      <c r="H21" s="3">
        <f t="shared" si="12"/>
        <v>1.1753905296791061</v>
      </c>
      <c r="I21" s="3">
        <f t="shared" si="12"/>
        <v>1.2690084184781294</v>
      </c>
      <c r="J21" s="3">
        <f t="shared" si="12"/>
        <v>1.3660254037844388</v>
      </c>
      <c r="K21" s="16" t="s">
        <v>68</v>
      </c>
    </row>
    <row r="22" spans="1:11">
      <c r="A22" t="s">
        <v>73</v>
      </c>
      <c r="B22" s="3">
        <f>B14-B6</f>
        <v>0.70710678118654768</v>
      </c>
      <c r="C22" s="3">
        <f t="shared" ref="C22:J22" si="13">C14-C6</f>
        <v>0.77236354322503442</v>
      </c>
      <c r="D22" s="3">
        <f t="shared" si="13"/>
        <v>0.8430703308172538</v>
      </c>
      <c r="E22" s="3">
        <f t="shared" si="13"/>
        <v>0.91904374441997683</v>
      </c>
      <c r="F22" s="3">
        <f t="shared" si="13"/>
        <v>1.0000000000000004</v>
      </c>
      <c r="G22" s="3">
        <f t="shared" si="13"/>
        <v>1.0855823048033115</v>
      </c>
      <c r="H22" s="3">
        <f t="shared" si="13"/>
        <v>1.1753905296791061</v>
      </c>
      <c r="I22" s="3">
        <f t="shared" si="13"/>
        <v>1.2690084184781294</v>
      </c>
      <c r="J22" s="3">
        <f t="shared" si="13"/>
        <v>1.3660254037844388</v>
      </c>
      <c r="K22" s="16" t="s">
        <v>69</v>
      </c>
    </row>
    <row r="24" spans="1:11">
      <c r="A24" t="str">
        <f>A11</f>
        <v>ROV</v>
      </c>
      <c r="B24" s="3">
        <f t="shared" ref="B24:J24" si="14">B11</f>
        <v>0.19442768285708267</v>
      </c>
      <c r="C24" s="3">
        <f t="shared" si="14"/>
        <v>0.2077116735186976</v>
      </c>
      <c r="D24" s="3">
        <f t="shared" si="14"/>
        <v>0.22148883734991726</v>
      </c>
      <c r="E24" s="3">
        <f t="shared" si="14"/>
        <v>0.23562979124734945</v>
      </c>
      <c r="F24" s="3">
        <f t="shared" si="14"/>
        <v>0.25000000000000006</v>
      </c>
      <c r="G24" s="3">
        <f t="shared" si="14"/>
        <v>0.26446883388207576</v>
      </c>
      <c r="H24" s="3">
        <f t="shared" si="14"/>
        <v>0.27891679653772417</v>
      </c>
      <c r="I24" s="3">
        <f t="shared" si="14"/>
        <v>0.29324023055242654</v>
      </c>
      <c r="J24" s="3">
        <f t="shared" si="14"/>
        <v>0.30735350239315212</v>
      </c>
    </row>
    <row r="25" spans="1:11">
      <c r="A25" t="str">
        <f>A13</f>
        <v>ROV D</v>
      </c>
      <c r="B25" s="3">
        <f t="shared" ref="B25:J25" si="15">B13</f>
        <v>0.46938994885434387</v>
      </c>
      <c r="C25" s="3">
        <f t="shared" si="15"/>
        <v>0.47664160339522865</v>
      </c>
      <c r="D25" s="3">
        <f t="shared" si="15"/>
        <v>0.48420575342880573</v>
      </c>
      <c r="E25" s="3">
        <f t="shared" si="15"/>
        <v>0.49201561910156022</v>
      </c>
      <c r="F25" s="3">
        <f t="shared" si="15"/>
        <v>0.5</v>
      </c>
      <c r="G25" s="3">
        <f t="shared" si="15"/>
        <v>0.5080881639981768</v>
      </c>
      <c r="H25" s="3">
        <f t="shared" si="15"/>
        <v>0.51621392416888801</v>
      </c>
      <c r="I25" s="3">
        <f t="shared" si="15"/>
        <v>0.52431846950067373</v>
      </c>
      <c r="J25" s="3">
        <f t="shared" si="15"/>
        <v>0.53235188202918193</v>
      </c>
    </row>
    <row r="26" spans="1:11">
      <c r="A26" t="str">
        <f>A19</f>
        <v>ROV G</v>
      </c>
      <c r="B26" s="3">
        <f t="shared" ref="B26:J26" si="16">B19</f>
        <v>0.66381763171142649</v>
      </c>
      <c r="C26" s="3">
        <f t="shared" si="16"/>
        <v>0.61712079444479317</v>
      </c>
      <c r="D26" s="3">
        <f t="shared" si="16"/>
        <v>0.57433613273927842</v>
      </c>
      <c r="E26" s="3">
        <f t="shared" si="16"/>
        <v>0.53535603945825139</v>
      </c>
      <c r="F26" s="3">
        <f t="shared" si="16"/>
        <v>0.49999999999999989</v>
      </c>
      <c r="G26" s="3">
        <f t="shared" si="16"/>
        <v>0.46803283523512618</v>
      </c>
      <c r="H26" s="3">
        <f t="shared" si="16"/>
        <v>0.4391850292598663</v>
      </c>
      <c r="I26" s="3">
        <f t="shared" si="16"/>
        <v>0.41317178189366754</v>
      </c>
      <c r="J26" s="3">
        <f t="shared" si="16"/>
        <v>0.38970862515027427</v>
      </c>
    </row>
    <row r="49" spans="1:1">
      <c r="A49" t="s">
        <v>18</v>
      </c>
    </row>
    <row r="50" spans="1:1">
      <c r="A50" t="s">
        <v>19</v>
      </c>
    </row>
  </sheetData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20"/>
  <sheetViews>
    <sheetView workbookViewId="0">
      <selection sqref="A1:D20"/>
    </sheetView>
  </sheetViews>
  <sheetFormatPr defaultRowHeight="12.75"/>
  <cols>
    <col min="2" max="2" width="10.7109375" customWidth="1"/>
    <col min="3" max="3" width="34.42578125" customWidth="1"/>
  </cols>
  <sheetData>
    <row r="1" spans="1:4" ht="15.75">
      <c r="A1" s="17" t="s">
        <v>54</v>
      </c>
    </row>
    <row r="2" spans="1:4">
      <c r="A2" s="79" t="s">
        <v>184</v>
      </c>
      <c r="D2" s="92" t="s">
        <v>287</v>
      </c>
    </row>
    <row r="3" spans="1:4">
      <c r="A3" s="11" t="s">
        <v>0</v>
      </c>
      <c r="B3" s="8">
        <v>100</v>
      </c>
      <c r="D3" s="82"/>
    </row>
    <row r="4" spans="1:4">
      <c r="A4" s="11" t="s">
        <v>31</v>
      </c>
      <c r="B4" s="8">
        <v>100</v>
      </c>
      <c r="D4" s="82"/>
    </row>
    <row r="5" spans="1:4">
      <c r="A5" s="10" t="s">
        <v>4</v>
      </c>
      <c r="B5" s="8">
        <v>0.2</v>
      </c>
      <c r="D5" s="82"/>
    </row>
    <row r="6" spans="1:4">
      <c r="A6" s="81" t="s">
        <v>1</v>
      </c>
      <c r="B6" s="8">
        <v>0.04</v>
      </c>
      <c r="D6" s="82"/>
    </row>
    <row r="7" spans="1:4">
      <c r="A7" s="10" t="s">
        <v>249</v>
      </c>
      <c r="B7" s="8">
        <v>0.04</v>
      </c>
      <c r="D7" s="82"/>
    </row>
    <row r="8" spans="1:4">
      <c r="A8" s="81" t="s">
        <v>188</v>
      </c>
      <c r="B8" s="11"/>
      <c r="D8" s="82"/>
    </row>
    <row r="9" spans="1:4">
      <c r="A9" s="11" t="s">
        <v>2</v>
      </c>
      <c r="B9" s="8">
        <f>IF(B3&lt;B11,B12*(B3^B13),B10)</f>
        <v>25.000000000000007</v>
      </c>
      <c r="C9" s="8" t="s">
        <v>298</v>
      </c>
      <c r="D9" s="92" t="s">
        <v>288</v>
      </c>
    </row>
    <row r="10" spans="1:4">
      <c r="A10" s="11" t="s">
        <v>32</v>
      </c>
      <c r="B10" s="8">
        <f>B3-B4</f>
        <v>0</v>
      </c>
      <c r="C10" s="9" t="s">
        <v>53</v>
      </c>
      <c r="D10" s="82"/>
    </row>
    <row r="11" spans="1:4">
      <c r="A11" s="11" t="s">
        <v>179</v>
      </c>
      <c r="B11" s="8">
        <f>(B13/(B13-1))*B4</f>
        <v>200.00000000000006</v>
      </c>
      <c r="C11" s="8" t="s">
        <v>299</v>
      </c>
      <c r="D11" s="82">
        <v>4.1500000000000004</v>
      </c>
    </row>
    <row r="12" spans="1:4">
      <c r="A12" s="11" t="s">
        <v>189</v>
      </c>
      <c r="B12" s="4">
        <f>(B11-B4)/(B11^B13)</f>
        <v>2.5000000000000031E-3</v>
      </c>
      <c r="C12" s="4" t="s">
        <v>300</v>
      </c>
      <c r="D12" s="82">
        <v>4.1399999999999997</v>
      </c>
    </row>
    <row r="13" spans="1:4" ht="14.25">
      <c r="A13" s="10" t="s">
        <v>140</v>
      </c>
      <c r="B13" s="8">
        <f>0.5-(B6-B7)/(B5^2)+SQRT(((B6-B7)/(B5^2)-0.5)^2 + 2*B6/(B5^2))</f>
        <v>1.9999999999999998</v>
      </c>
      <c r="C13" s="5"/>
      <c r="D13" s="82"/>
    </row>
    <row r="14" spans="1:4" ht="14.25">
      <c r="A14" s="10" t="s">
        <v>140</v>
      </c>
      <c r="B14" s="9" t="s">
        <v>55</v>
      </c>
      <c r="C14" s="5"/>
      <c r="D14" s="82">
        <v>4.9000000000000004</v>
      </c>
    </row>
    <row r="15" spans="1:4">
      <c r="A15" t="s">
        <v>238</v>
      </c>
      <c r="B15" s="3">
        <f>0.5*(B5^2)*(B3^2)*B17+(B6-B7)*B3*B16-B6*B9</f>
        <v>0</v>
      </c>
      <c r="C15" s="16" t="s">
        <v>301</v>
      </c>
      <c r="D15" s="82">
        <v>4.5999999999999996</v>
      </c>
    </row>
    <row r="16" spans="1:4">
      <c r="A16" s="11" t="s">
        <v>34</v>
      </c>
      <c r="B16" s="8">
        <f>IF(B3&lt;B11,B12*B13*(B3^(B13-1)),1)</f>
        <v>0.50000000000000033</v>
      </c>
      <c r="C16" s="8" t="s">
        <v>302</v>
      </c>
      <c r="D16" s="92" t="s">
        <v>289</v>
      </c>
    </row>
    <row r="17" spans="1:4">
      <c r="A17" t="s">
        <v>33</v>
      </c>
      <c r="B17" s="3">
        <f>IF(B3&lt;B11,B12*B13*(B13-1)*(B3^(B13-2)),0)</f>
        <v>4.9999999999999992E-3</v>
      </c>
      <c r="C17" s="3" t="s">
        <v>303</v>
      </c>
      <c r="D17" s="92" t="s">
        <v>290</v>
      </c>
    </row>
    <row r="18" spans="1:4">
      <c r="A18" t="s">
        <v>35</v>
      </c>
      <c r="B18" s="3">
        <f>B12*B13*(B11^(B13-1))</f>
        <v>1.0000000000000007</v>
      </c>
      <c r="C18" s="3" t="s">
        <v>304</v>
      </c>
      <c r="D18" s="92">
        <v>4.13</v>
      </c>
    </row>
    <row r="19" spans="1:4">
      <c r="A19" t="s">
        <v>36</v>
      </c>
      <c r="B19" s="3">
        <f>IF(B3&lt;B11,B12*(B11^B13),B10)</f>
        <v>100.00000000000006</v>
      </c>
      <c r="C19" s="3" t="s">
        <v>305</v>
      </c>
      <c r="D19" s="92">
        <v>4.12</v>
      </c>
    </row>
    <row r="20" spans="1:4">
      <c r="A20" t="s">
        <v>73</v>
      </c>
      <c r="B20" s="3">
        <f>B11-B4</f>
        <v>100.00000000000006</v>
      </c>
      <c r="C20" s="3" t="s">
        <v>306</v>
      </c>
      <c r="D20" s="92">
        <v>4.12</v>
      </c>
    </row>
  </sheetData>
  <phoneticPr fontId="6" type="noConversion"/>
  <printOptions horizontalCentered="1" headings="1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9FCA-234B-4F81-A718-0FF3779CDCF5}">
  <dimension ref="A1:C29"/>
  <sheetViews>
    <sheetView topLeftCell="A7" workbookViewId="0">
      <selection activeCell="B28" sqref="B28"/>
    </sheetView>
  </sheetViews>
  <sheetFormatPr defaultRowHeight="12.75"/>
  <cols>
    <col min="1" max="1" width="20.7109375" bestFit="1" customWidth="1"/>
    <col min="2" max="2" width="19" bestFit="1" customWidth="1"/>
  </cols>
  <sheetData>
    <row r="1" spans="1:3" ht="15">
      <c r="B1" s="24" t="s">
        <v>309</v>
      </c>
    </row>
    <row r="2" spans="1:3" ht="15">
      <c r="B2" s="24" t="s">
        <v>310</v>
      </c>
    </row>
    <row r="3" spans="1:3" ht="14.25">
      <c r="A3" s="96" t="s">
        <v>311</v>
      </c>
      <c r="B3" s="96">
        <v>100</v>
      </c>
    </row>
    <row r="4" spans="1:3" ht="14.25">
      <c r="A4" s="96" t="s">
        <v>312</v>
      </c>
      <c r="B4" s="96">
        <v>100</v>
      </c>
    </row>
    <row r="5" spans="1:3" ht="14.25">
      <c r="A5" s="96" t="s">
        <v>313</v>
      </c>
      <c r="B5" s="97">
        <v>0.2</v>
      </c>
    </row>
    <row r="6" spans="1:3" ht="14.25">
      <c r="A6" s="96" t="s">
        <v>314</v>
      </c>
      <c r="B6" s="96">
        <f>B5^2</f>
        <v>4.0000000000000008E-2</v>
      </c>
    </row>
    <row r="7" spans="1:3" ht="14.25">
      <c r="A7" s="96" t="s">
        <v>315</v>
      </c>
      <c r="B7" s="98">
        <v>0.04</v>
      </c>
    </row>
    <row r="8" spans="1:3" ht="15">
      <c r="A8" s="99" t="s">
        <v>316</v>
      </c>
      <c r="B8" s="99">
        <v>0</v>
      </c>
    </row>
    <row r="9" spans="1:3" ht="14.25">
      <c r="A9" s="96" t="s">
        <v>317</v>
      </c>
      <c r="B9" s="100">
        <v>0.04</v>
      </c>
    </row>
    <row r="10" spans="1:3" ht="14.25">
      <c r="A10" s="96" t="s">
        <v>318</v>
      </c>
      <c r="B10" s="97">
        <v>0</v>
      </c>
    </row>
    <row r="11" spans="1:3" ht="15">
      <c r="A11" s="96" t="s">
        <v>319</v>
      </c>
      <c r="B11" s="101">
        <v>0</v>
      </c>
    </row>
    <row r="12" spans="1:3" ht="15">
      <c r="A12" s="96" t="s">
        <v>320</v>
      </c>
      <c r="B12" s="3">
        <v>0</v>
      </c>
    </row>
    <row r="13" spans="1:3" ht="14.25">
      <c r="A13" s="96" t="s">
        <v>321</v>
      </c>
      <c r="B13" s="102">
        <f>0.5-(B7-B9-B10)/B6</f>
        <v>0.5</v>
      </c>
      <c r="C13" s="102" t="s">
        <v>322</v>
      </c>
    </row>
    <row r="14" spans="1:3" ht="14.25">
      <c r="A14" s="96" t="s">
        <v>323</v>
      </c>
      <c r="B14" s="102">
        <f>B13^2+2*(B7-B10)/B6</f>
        <v>2.2499999999999996</v>
      </c>
      <c r="C14" s="102" t="s">
        <v>324</v>
      </c>
    </row>
    <row r="15" spans="1:3" ht="18.75">
      <c r="A15" s="96" t="s">
        <v>325</v>
      </c>
      <c r="B15" s="102">
        <f>B13+SQRT(B14)</f>
        <v>1.9999999999999998</v>
      </c>
      <c r="C15" s="102" t="s">
        <v>326</v>
      </c>
    </row>
    <row r="16" spans="1:3" ht="18.75">
      <c r="A16" s="96" t="s">
        <v>327</v>
      </c>
      <c r="B16" s="102">
        <f>B13-SQRT(B14)</f>
        <v>-0.99999999999999978</v>
      </c>
      <c r="C16" s="102" t="s">
        <v>328</v>
      </c>
    </row>
    <row r="17" spans="1:3" ht="14.25">
      <c r="A17" s="96" t="s">
        <v>329</v>
      </c>
      <c r="B17" s="102">
        <f>B8/B7</f>
        <v>0</v>
      </c>
      <c r="C17" s="102" t="s">
        <v>330</v>
      </c>
    </row>
    <row r="18" spans="1:3" ht="14.25">
      <c r="A18" s="96" t="s">
        <v>247</v>
      </c>
      <c r="B18" s="103">
        <f>-2*B7/B6</f>
        <v>-1.9999999999999996</v>
      </c>
      <c r="C18" s="104" t="s">
        <v>331</v>
      </c>
    </row>
    <row r="19" spans="1:3" ht="14.25">
      <c r="A19" s="96" t="s">
        <v>332</v>
      </c>
      <c r="B19" s="102">
        <f>B20*(1-B11)</f>
        <v>49.999850000000002</v>
      </c>
      <c r="C19" s="102" t="s">
        <v>333</v>
      </c>
    </row>
    <row r="20" spans="1:3" ht="15">
      <c r="A20" s="96" t="s">
        <v>179</v>
      </c>
      <c r="B20" s="105">
        <v>49.999850000000002</v>
      </c>
      <c r="C20" s="105" t="s">
        <v>175</v>
      </c>
    </row>
    <row r="21" spans="1:3" ht="15">
      <c r="A21" s="96" t="s">
        <v>334</v>
      </c>
      <c r="B21" s="105">
        <v>100</v>
      </c>
      <c r="C21" s="105" t="s">
        <v>175</v>
      </c>
    </row>
    <row r="22" spans="1:3" ht="14.25">
      <c r="A22" s="96" t="s">
        <v>335</v>
      </c>
      <c r="B22" s="102">
        <f>(-B16/(B15-B16))*B17/B21^B15</f>
        <v>0</v>
      </c>
      <c r="C22" s="102" t="s">
        <v>336</v>
      </c>
    </row>
    <row r="23" spans="1:3" ht="14.25">
      <c r="A23" s="96" t="s">
        <v>337</v>
      </c>
      <c r="B23" s="106">
        <f>(-B15/B16)*B22*B21^(B15-B16)</f>
        <v>0</v>
      </c>
      <c r="C23" s="106" t="s">
        <v>338</v>
      </c>
    </row>
    <row r="24" spans="1:3" ht="15">
      <c r="A24" s="99" t="s">
        <v>339</v>
      </c>
      <c r="B24" s="105">
        <f>B22*(B3^B15)+B23*(B3^B16)-B8/B7</f>
        <v>0</v>
      </c>
      <c r="C24" s="105" t="s">
        <v>340</v>
      </c>
    </row>
    <row r="25" spans="1:3" ht="15">
      <c r="A25" s="96" t="s">
        <v>341</v>
      </c>
      <c r="B25" s="105">
        <f>B22*(B3^B15)+B23*(B3^B16)+(B20*B11-B8/B7)*(B3/B20)^(B7/(B12-0.5*(B6)))</f>
        <v>0</v>
      </c>
      <c r="C25" s="107" t="s">
        <v>342</v>
      </c>
    </row>
    <row r="26" spans="1:3" ht="14.25">
      <c r="A26" s="96" t="s">
        <v>343</v>
      </c>
      <c r="B26" s="102">
        <f>(-B16/(1-B16))*(B4-B17*(1-(B20/B21)^B15))-B19</f>
        <v>1.4999999999076863E-4</v>
      </c>
      <c r="C26" s="102" t="s">
        <v>344</v>
      </c>
    </row>
    <row r="27" spans="1:3" ht="14.25">
      <c r="A27" s="96" t="s">
        <v>345</v>
      </c>
      <c r="B27" s="102">
        <f>(B15/(B15-1))*(B4-B17*(1-(B20/B21)^B16))-B19</f>
        <v>150.00015000000005</v>
      </c>
      <c r="C27" s="102" t="s">
        <v>346</v>
      </c>
    </row>
    <row r="28" spans="1:3" ht="14.25">
      <c r="A28" s="96" t="s">
        <v>347</v>
      </c>
      <c r="B28" s="102">
        <f>ABS(B26)+ABS(B27)</f>
        <v>150.00030000000004</v>
      </c>
      <c r="C28" s="102" t="s">
        <v>348</v>
      </c>
    </row>
    <row r="29" spans="1:3" ht="14.25">
      <c r="A29" s="96" t="s">
        <v>349</v>
      </c>
    </row>
  </sheetData>
  <printOptions horizontalCentered="1" headings="1"/>
  <pageMargins left="0.7" right="0.7" top="0.75" bottom="0.75" header="0.3" footer="0.3"/>
  <pageSetup scale="90" orientation="portrait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66B17-1C6B-4A1C-92FC-34F7EB14E57C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topLeftCell="A10" workbookViewId="0">
      <selection activeCell="F36" sqref="F36"/>
    </sheetView>
  </sheetViews>
  <sheetFormatPr defaultRowHeight="12.75"/>
  <cols>
    <col min="1" max="1" width="15.7109375" bestFit="1" customWidth="1"/>
    <col min="2" max="2" width="6.140625" customWidth="1"/>
    <col min="3" max="9" width="5.7109375" customWidth="1"/>
    <col min="10" max="13" width="6.5703125" customWidth="1"/>
    <col min="14" max="14" width="7.140625" customWidth="1"/>
  </cols>
  <sheetData>
    <row r="1" spans="1:14" ht="18.75">
      <c r="A1" s="20" t="s">
        <v>156</v>
      </c>
      <c r="B1" s="20"/>
      <c r="C1" s="20"/>
      <c r="D1" s="20"/>
      <c r="E1" s="20"/>
      <c r="F1" s="20"/>
    </row>
    <row r="2" spans="1:14" ht="18.75">
      <c r="A2" s="20" t="s">
        <v>192</v>
      </c>
      <c r="B2" s="20"/>
      <c r="C2" s="20"/>
      <c r="D2" s="20"/>
      <c r="E2" s="20"/>
      <c r="F2" s="20"/>
    </row>
    <row r="3" spans="1:14">
      <c r="A3" t="s">
        <v>239</v>
      </c>
      <c r="B3" s="15">
        <v>1E-8</v>
      </c>
      <c r="C3" s="21">
        <v>25</v>
      </c>
      <c r="D3" s="21">
        <f>C3+25</f>
        <v>50</v>
      </c>
      <c r="E3" s="21">
        <f t="shared" ref="E3:N3" si="0">D3+25</f>
        <v>75</v>
      </c>
      <c r="F3" s="21">
        <f t="shared" si="0"/>
        <v>100</v>
      </c>
      <c r="G3" s="21">
        <f t="shared" si="0"/>
        <v>125</v>
      </c>
      <c r="H3" s="21">
        <f t="shared" si="0"/>
        <v>150</v>
      </c>
      <c r="I3" s="21">
        <f t="shared" si="0"/>
        <v>175</v>
      </c>
      <c r="J3" s="21">
        <f t="shared" si="0"/>
        <v>200</v>
      </c>
      <c r="K3" s="21">
        <f t="shared" si="0"/>
        <v>225</v>
      </c>
      <c r="L3" s="21">
        <f t="shared" si="0"/>
        <v>250</v>
      </c>
      <c r="M3" s="21">
        <f t="shared" si="0"/>
        <v>275</v>
      </c>
      <c r="N3" s="21">
        <f t="shared" si="0"/>
        <v>300</v>
      </c>
    </row>
    <row r="4" spans="1:14">
      <c r="A4" t="s">
        <v>233</v>
      </c>
      <c r="B4" s="21">
        <f>B32</f>
        <v>100</v>
      </c>
      <c r="C4" s="21">
        <f>B4</f>
        <v>100</v>
      </c>
      <c r="D4" s="21">
        <f t="shared" ref="D4:N7" si="1">C4</f>
        <v>100</v>
      </c>
      <c r="E4" s="21">
        <f t="shared" si="1"/>
        <v>100</v>
      </c>
      <c r="F4" s="21">
        <f t="shared" si="1"/>
        <v>100</v>
      </c>
      <c r="G4" s="21">
        <f t="shared" si="1"/>
        <v>100</v>
      </c>
      <c r="H4" s="21">
        <f t="shared" si="1"/>
        <v>100</v>
      </c>
      <c r="I4" s="21">
        <f t="shared" si="1"/>
        <v>100</v>
      </c>
      <c r="J4" s="21">
        <f t="shared" si="1"/>
        <v>100</v>
      </c>
      <c r="K4" s="21">
        <f t="shared" si="1"/>
        <v>100</v>
      </c>
      <c r="L4" s="21">
        <f t="shared" si="1"/>
        <v>100</v>
      </c>
      <c r="M4" s="21">
        <f t="shared" si="1"/>
        <v>100</v>
      </c>
      <c r="N4" s="21">
        <f t="shared" si="1"/>
        <v>100</v>
      </c>
    </row>
    <row r="5" spans="1:14">
      <c r="A5" s="7" t="s">
        <v>237</v>
      </c>
      <c r="B5" s="22">
        <v>0.05</v>
      </c>
      <c r="C5" s="22">
        <f>B5</f>
        <v>0.05</v>
      </c>
      <c r="D5" s="22">
        <f t="shared" si="1"/>
        <v>0.05</v>
      </c>
      <c r="E5" s="22">
        <f t="shared" si="1"/>
        <v>0.05</v>
      </c>
      <c r="F5" s="22">
        <f t="shared" si="1"/>
        <v>0.05</v>
      </c>
      <c r="G5" s="22">
        <f t="shared" si="1"/>
        <v>0.05</v>
      </c>
      <c r="H5" s="22">
        <f t="shared" si="1"/>
        <v>0.05</v>
      </c>
      <c r="I5" s="22">
        <f t="shared" si="1"/>
        <v>0.05</v>
      </c>
      <c r="J5" s="22">
        <f t="shared" si="1"/>
        <v>0.05</v>
      </c>
      <c r="K5" s="22">
        <f t="shared" si="1"/>
        <v>0.05</v>
      </c>
      <c r="L5" s="22">
        <f t="shared" si="1"/>
        <v>0.05</v>
      </c>
      <c r="M5" s="22">
        <f t="shared" si="1"/>
        <v>0.05</v>
      </c>
      <c r="N5" s="22">
        <f t="shared" si="1"/>
        <v>0.05</v>
      </c>
    </row>
    <row r="6" spans="1:14">
      <c r="A6" s="7" t="s">
        <v>185</v>
      </c>
      <c r="B6" s="22">
        <f>B34</f>
        <v>0.5</v>
      </c>
      <c r="C6" s="22">
        <f>B6</f>
        <v>0.5</v>
      </c>
      <c r="D6" s="22">
        <f t="shared" si="1"/>
        <v>0.5</v>
      </c>
      <c r="E6" s="22">
        <f t="shared" si="1"/>
        <v>0.5</v>
      </c>
      <c r="F6" s="22">
        <f t="shared" si="1"/>
        <v>0.5</v>
      </c>
      <c r="G6" s="22">
        <f t="shared" si="1"/>
        <v>0.5</v>
      </c>
      <c r="H6" s="22">
        <f t="shared" si="1"/>
        <v>0.5</v>
      </c>
      <c r="I6" s="22">
        <f t="shared" si="1"/>
        <v>0.5</v>
      </c>
      <c r="J6" s="22">
        <f t="shared" si="1"/>
        <v>0.5</v>
      </c>
      <c r="K6" s="22">
        <f t="shared" si="1"/>
        <v>0.5</v>
      </c>
      <c r="L6" s="22">
        <f t="shared" si="1"/>
        <v>0.5</v>
      </c>
      <c r="M6" s="22">
        <f t="shared" si="1"/>
        <v>0.5</v>
      </c>
      <c r="N6" s="22">
        <f t="shared" si="1"/>
        <v>0.5</v>
      </c>
    </row>
    <row r="7" spans="1:14">
      <c r="A7" s="7" t="s">
        <v>235</v>
      </c>
      <c r="B7" s="22">
        <f>B33</f>
        <v>2</v>
      </c>
      <c r="C7" s="22">
        <f>B7</f>
        <v>2</v>
      </c>
      <c r="D7" s="22">
        <f t="shared" si="1"/>
        <v>2</v>
      </c>
      <c r="E7" s="22">
        <f t="shared" si="1"/>
        <v>2</v>
      </c>
      <c r="F7" s="22">
        <f t="shared" si="1"/>
        <v>2</v>
      </c>
      <c r="G7" s="22">
        <f t="shared" si="1"/>
        <v>2</v>
      </c>
      <c r="H7" s="22">
        <f t="shared" si="1"/>
        <v>2</v>
      </c>
      <c r="I7" s="22">
        <f t="shared" si="1"/>
        <v>2</v>
      </c>
      <c r="J7" s="22">
        <f t="shared" si="1"/>
        <v>2</v>
      </c>
      <c r="K7" s="22">
        <f t="shared" si="1"/>
        <v>2</v>
      </c>
      <c r="L7" s="22">
        <f t="shared" si="1"/>
        <v>2</v>
      </c>
      <c r="M7" s="22">
        <f t="shared" si="1"/>
        <v>2</v>
      </c>
      <c r="N7" s="22">
        <f t="shared" si="1"/>
        <v>2</v>
      </c>
    </row>
    <row r="8" spans="1:14">
      <c r="A8" s="7" t="s">
        <v>236</v>
      </c>
      <c r="B8" s="14">
        <f>B3*B13-B4*B14*EXP(-B5*B7)</f>
        <v>1.3056288553139213E-235</v>
      </c>
      <c r="C8" s="14">
        <f t="shared" ref="C8:N8" si="2">C3*C13-C4*C14*EXP(-C5*C7)</f>
        <v>0.43615012465267999</v>
      </c>
      <c r="D8" s="14">
        <f t="shared" si="2"/>
        <v>5.1406281319309439</v>
      </c>
      <c r="E8" s="14">
        <f t="shared" si="2"/>
        <v>15.886948530654259</v>
      </c>
      <c r="F8" s="14">
        <f t="shared" si="2"/>
        <v>31.327683827656472</v>
      </c>
      <c r="G8" s="14">
        <f t="shared" si="2"/>
        <v>49.929197434795533</v>
      </c>
      <c r="H8" s="14">
        <f t="shared" si="2"/>
        <v>70.593995577513724</v>
      </c>
      <c r="I8" s="14">
        <f t="shared" si="2"/>
        <v>92.608338501808802</v>
      </c>
      <c r="J8" s="14">
        <f t="shared" si="2"/>
        <v>115.51682267985942</v>
      </c>
      <c r="K8" s="14">
        <f t="shared" si="2"/>
        <v>139.02744992474533</v>
      </c>
      <c r="L8" s="14">
        <f t="shared" si="2"/>
        <v>162.95048298519612</v>
      </c>
      <c r="M8" s="14">
        <f t="shared" si="2"/>
        <v>187.16062969160694</v>
      </c>
      <c r="N8" s="23">
        <f t="shared" si="2"/>
        <v>211.57376695984868</v>
      </c>
    </row>
    <row r="9" spans="1:14">
      <c r="A9" t="s">
        <v>240</v>
      </c>
      <c r="B9" s="3">
        <f t="shared" ref="B9:N9" si="3">IF(B3&gt;B4,B3-B4,0)</f>
        <v>0</v>
      </c>
      <c r="C9" s="3">
        <f t="shared" si="3"/>
        <v>0</v>
      </c>
      <c r="D9" s="3">
        <f t="shared" si="3"/>
        <v>0</v>
      </c>
      <c r="E9" s="3">
        <f t="shared" si="3"/>
        <v>0</v>
      </c>
      <c r="F9" s="3">
        <f t="shared" si="3"/>
        <v>0</v>
      </c>
      <c r="G9" s="3">
        <f t="shared" si="3"/>
        <v>25</v>
      </c>
      <c r="H9" s="3">
        <f t="shared" si="3"/>
        <v>50</v>
      </c>
      <c r="I9" s="3">
        <f t="shared" si="3"/>
        <v>75</v>
      </c>
      <c r="J9" s="3">
        <f t="shared" si="3"/>
        <v>100</v>
      </c>
      <c r="K9" s="3">
        <f t="shared" si="3"/>
        <v>125</v>
      </c>
      <c r="L9" s="3">
        <f t="shared" si="3"/>
        <v>150</v>
      </c>
      <c r="M9" s="3">
        <f t="shared" si="3"/>
        <v>175</v>
      </c>
      <c r="N9">
        <f t="shared" si="3"/>
        <v>200</v>
      </c>
    </row>
    <row r="11" spans="1:14">
      <c r="A11" s="7" t="s">
        <v>176</v>
      </c>
      <c r="B11" s="14">
        <f>(LN(B3/B4)+(B5+B6^2/2)*B7)/(B6*SQRT(B7))</f>
        <v>-32.068495923472348</v>
      </c>
      <c r="C11" s="14">
        <f t="shared" ref="C11:N11" si="4">(LN(C3/C4)+(C5+C6^2/2)*C7)/(C6*SQRT(C7))</f>
        <v>-1.4655415401065111</v>
      </c>
      <c r="D11" s="14">
        <f t="shared" si="4"/>
        <v>-0.48528339663796388</v>
      </c>
      <c r="E11" s="14">
        <f t="shared" si="4"/>
        <v>8.8130858317675337E-2</v>
      </c>
      <c r="F11" s="14">
        <f t="shared" si="4"/>
        <v>0.49497474683058318</v>
      </c>
      <c r="G11" s="14">
        <f t="shared" si="4"/>
        <v>0.81054738345523536</v>
      </c>
      <c r="H11" s="14">
        <f t="shared" si="4"/>
        <v>1.0683890017862223</v>
      </c>
      <c r="I11" s="14">
        <f t="shared" si="4"/>
        <v>1.2863909838469638</v>
      </c>
      <c r="J11" s="14">
        <f t="shared" si="4"/>
        <v>1.4752328902991303</v>
      </c>
      <c r="K11" s="14">
        <f t="shared" si="4"/>
        <v>1.6418032567418619</v>
      </c>
      <c r="L11" s="14">
        <f t="shared" si="4"/>
        <v>1.7908055269237826</v>
      </c>
      <c r="M11" s="14">
        <f t="shared" si="4"/>
        <v>1.925594475835277</v>
      </c>
      <c r="N11" s="14">
        <f t="shared" si="4"/>
        <v>2.0486471452547694</v>
      </c>
    </row>
    <row r="12" spans="1:14">
      <c r="A12" s="7" t="s">
        <v>177</v>
      </c>
      <c r="B12" s="14">
        <f>B11-B6*SQRT(B7)</f>
        <v>-32.775602704658894</v>
      </c>
      <c r="C12" s="14">
        <f t="shared" ref="C12:N12" si="5">C11-C6*SQRT(C7)</f>
        <v>-2.1726483212930585</v>
      </c>
      <c r="D12" s="14">
        <f t="shared" si="5"/>
        <v>-1.1923901778245114</v>
      </c>
      <c r="E12" s="14">
        <f t="shared" si="5"/>
        <v>-0.61897592286887226</v>
      </c>
      <c r="F12" s="14">
        <f t="shared" si="5"/>
        <v>-0.21213203435596439</v>
      </c>
      <c r="G12" s="14">
        <f t="shared" si="5"/>
        <v>0.10344060226868779</v>
      </c>
      <c r="H12" s="14">
        <f t="shared" si="5"/>
        <v>0.36128222059967474</v>
      </c>
      <c r="I12" s="14">
        <f t="shared" si="5"/>
        <v>0.57928420266041625</v>
      </c>
      <c r="J12" s="14">
        <f t="shared" si="5"/>
        <v>0.76812610911258272</v>
      </c>
      <c r="K12" s="14">
        <f t="shared" si="5"/>
        <v>0.93469647555531432</v>
      </c>
      <c r="L12" s="14">
        <f t="shared" si="5"/>
        <v>1.0836987457372351</v>
      </c>
      <c r="M12" s="14">
        <f t="shared" si="5"/>
        <v>1.2184876946487293</v>
      </c>
      <c r="N12" s="14">
        <f t="shared" si="5"/>
        <v>1.341540364068222</v>
      </c>
    </row>
    <row r="13" spans="1:14">
      <c r="A13" s="7" t="s">
        <v>186</v>
      </c>
      <c r="B13" s="14">
        <f>NORMSDIST(B11)</f>
        <v>6.0631710036614784E-226</v>
      </c>
      <c r="C13" s="14">
        <f t="shared" ref="C13:N14" si="6">NORMSDIST(C11)</f>
        <v>7.1386613796467033E-2</v>
      </c>
      <c r="D13" s="14">
        <f t="shared" si="6"/>
        <v>0.31373766572498357</v>
      </c>
      <c r="E13" s="14">
        <f t="shared" si="6"/>
        <v>0.53511366479769151</v>
      </c>
      <c r="F13" s="14">
        <f t="shared" si="6"/>
        <v>0.68969102678115513</v>
      </c>
      <c r="G13" s="14">
        <f t="shared" si="6"/>
        <v>0.79118717823336149</v>
      </c>
      <c r="H13" s="14">
        <f t="shared" si="6"/>
        <v>0.85732746197343157</v>
      </c>
      <c r="I13" s="14">
        <f t="shared" si="6"/>
        <v>0.9008466782815403</v>
      </c>
      <c r="J13" s="14">
        <f t="shared" si="6"/>
        <v>0.92992502912237096</v>
      </c>
      <c r="K13" s="14">
        <f t="shared" si="6"/>
        <v>0.94968460803941124</v>
      </c>
      <c r="L13" s="14">
        <f t="shared" si="6"/>
        <v>0.96333774597859134</v>
      </c>
      <c r="M13" s="14">
        <f t="shared" si="6"/>
        <v>0.97292248548401239</v>
      </c>
      <c r="N13" s="14">
        <f t="shared" si="6"/>
        <v>0.97975168448350292</v>
      </c>
    </row>
    <row r="14" spans="1:14">
      <c r="A14" s="7" t="s">
        <v>187</v>
      </c>
      <c r="B14" s="14">
        <f>NORMSDIST(B12)</f>
        <v>6.5565459604968687E-236</v>
      </c>
      <c r="C14" s="14">
        <f t="shared" si="6"/>
        <v>1.4903398040126187E-2</v>
      </c>
      <c r="D14" s="14">
        <f t="shared" si="6"/>
        <v>0.11655414491157914</v>
      </c>
      <c r="E14" s="14">
        <f t="shared" si="6"/>
        <v>0.26796611021902955</v>
      </c>
      <c r="F14" s="14">
        <f t="shared" si="6"/>
        <v>0.41600201428631817</v>
      </c>
      <c r="G14" s="14">
        <f t="shared" si="6"/>
        <v>0.54119335549437397</v>
      </c>
      <c r="H14" s="14">
        <f t="shared" si="6"/>
        <v>0.64105575833067308</v>
      </c>
      <c r="I14" s="14">
        <f t="shared" si="6"/>
        <v>0.71880128850811931</v>
      </c>
      <c r="J14" s="14">
        <f t="shared" si="6"/>
        <v>0.77879386661056793</v>
      </c>
      <c r="K14" s="14">
        <f t="shared" si="6"/>
        <v>0.82502762812529307</v>
      </c>
      <c r="L14" s="14">
        <f t="shared" si="6"/>
        <v>0.86075080403401794</v>
      </c>
      <c r="M14" s="14">
        <f t="shared" si="6"/>
        <v>0.88848065093282347</v>
      </c>
      <c r="N14" s="14">
        <f t="shared" si="6"/>
        <v>0.91012746316299409</v>
      </c>
    </row>
    <row r="32" spans="1:2">
      <c r="A32" t="s">
        <v>234</v>
      </c>
      <c r="B32">
        <v>100</v>
      </c>
    </row>
    <row r="33" spans="1:2">
      <c r="A33" t="s">
        <v>242</v>
      </c>
      <c r="B33">
        <v>2</v>
      </c>
    </row>
    <row r="34" spans="1:2">
      <c r="A34" t="s">
        <v>185</v>
      </c>
      <c r="B34">
        <v>0.5</v>
      </c>
    </row>
  </sheetData>
  <phoneticPr fontId="6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"/>
  <sheetViews>
    <sheetView workbookViewId="0">
      <selection sqref="A1:D26"/>
    </sheetView>
  </sheetViews>
  <sheetFormatPr defaultRowHeight="12.75"/>
  <cols>
    <col min="1" max="1" width="11.140625" bestFit="1" customWidth="1"/>
    <col min="4" max="4" width="9.7109375" customWidth="1"/>
  </cols>
  <sheetData>
    <row r="1" spans="1:4" ht="15">
      <c r="A1" s="24" t="s">
        <v>145</v>
      </c>
      <c r="B1" s="24"/>
      <c r="C1" s="24"/>
      <c r="D1" s="24"/>
    </row>
    <row r="2" spans="1:4" ht="15">
      <c r="A2" s="25" t="s">
        <v>185</v>
      </c>
      <c r="B2" s="26">
        <v>0.4</v>
      </c>
      <c r="C2" s="24"/>
      <c r="D2" s="24"/>
    </row>
    <row r="3" spans="1:4" ht="15">
      <c r="A3" s="27" t="s">
        <v>243</v>
      </c>
      <c r="B3" s="28">
        <v>0.1</v>
      </c>
      <c r="C3" s="24"/>
      <c r="D3" s="24"/>
    </row>
    <row r="4" spans="1:4" ht="15">
      <c r="A4" s="27" t="s">
        <v>244</v>
      </c>
      <c r="B4" s="28">
        <v>1</v>
      </c>
      <c r="C4" s="24"/>
      <c r="D4" s="24"/>
    </row>
    <row r="5" spans="1:4" ht="15">
      <c r="A5" s="27" t="s">
        <v>146</v>
      </c>
      <c r="B5" s="83">
        <f>EXP(B2*SQRT(B4))</f>
        <v>1.4918246976412703</v>
      </c>
      <c r="C5" s="24"/>
      <c r="D5" s="24"/>
    </row>
    <row r="6" spans="1:4" ht="15">
      <c r="A6" s="27" t="s">
        <v>147</v>
      </c>
      <c r="B6" s="83">
        <f>1/B5</f>
        <v>0.67032004603563933</v>
      </c>
      <c r="C6" s="24"/>
      <c r="D6" s="24"/>
    </row>
    <row r="7" spans="1:4" ht="15">
      <c r="A7" s="29" t="s">
        <v>148</v>
      </c>
      <c r="B7" s="84">
        <f>(EXP(B3*B4)-B6)/(B5-B6)</f>
        <v>0.52933464368107019</v>
      </c>
      <c r="C7" s="24"/>
      <c r="D7" s="24"/>
    </row>
    <row r="8" spans="1:4" ht="15">
      <c r="A8" t="str">
        <f>A5</f>
        <v>up</v>
      </c>
      <c r="B8" s="83" t="s">
        <v>163</v>
      </c>
      <c r="C8" s="24"/>
      <c r="D8" s="24"/>
    </row>
    <row r="9" spans="1:4" ht="15">
      <c r="A9" t="str">
        <f>A6</f>
        <v>down</v>
      </c>
      <c r="B9" s="83" t="s">
        <v>164</v>
      </c>
      <c r="C9" s="24"/>
      <c r="D9" s="24"/>
    </row>
    <row r="10" spans="1:4" ht="15">
      <c r="A10" t="str">
        <f>A7</f>
        <v>probability</v>
      </c>
      <c r="B10" s="84" t="s">
        <v>165</v>
      </c>
      <c r="C10" s="24"/>
      <c r="D10" s="24"/>
    </row>
    <row r="11" spans="1:4">
      <c r="A11" s="25" t="s">
        <v>245</v>
      </c>
      <c r="B11" s="30">
        <v>0</v>
      </c>
      <c r="C11" s="30">
        <v>1</v>
      </c>
      <c r="D11" s="26"/>
    </row>
    <row r="12" spans="1:4">
      <c r="A12" s="27"/>
      <c r="B12" s="11" t="s">
        <v>175</v>
      </c>
      <c r="C12" s="11"/>
      <c r="D12" s="28"/>
    </row>
    <row r="13" spans="1:4">
      <c r="A13" s="27" t="s">
        <v>246</v>
      </c>
      <c r="B13" s="11"/>
      <c r="C13" s="31">
        <f>B14*B5</f>
        <v>18.647808720515879</v>
      </c>
      <c r="D13" s="28" t="s">
        <v>247</v>
      </c>
    </row>
    <row r="14" spans="1:4">
      <c r="A14" s="27" t="s">
        <v>248</v>
      </c>
      <c r="B14" s="11">
        <v>12.5</v>
      </c>
      <c r="C14" s="11"/>
      <c r="D14" s="28"/>
    </row>
    <row r="15" spans="1:4">
      <c r="A15" s="27"/>
      <c r="B15" s="11"/>
      <c r="C15" s="31">
        <f>B14*B6</f>
        <v>8.3790005754454917</v>
      </c>
      <c r="D15" s="28" t="s">
        <v>249</v>
      </c>
    </row>
    <row r="16" spans="1:4">
      <c r="A16" s="27"/>
      <c r="B16" s="11"/>
      <c r="C16" s="11"/>
      <c r="D16" s="28"/>
    </row>
    <row r="17" spans="1:4">
      <c r="A17" s="27"/>
      <c r="B17" s="11"/>
      <c r="C17" s="11">
        <v>11</v>
      </c>
      <c r="D17" s="28" t="s">
        <v>247</v>
      </c>
    </row>
    <row r="18" spans="1:4">
      <c r="A18" s="27" t="s">
        <v>250</v>
      </c>
      <c r="B18" s="11">
        <v>10</v>
      </c>
      <c r="C18" s="11"/>
      <c r="D18" s="28"/>
    </row>
    <row r="19" spans="1:4">
      <c r="A19" s="27"/>
      <c r="B19" s="11"/>
      <c r="C19" s="11">
        <v>11</v>
      </c>
      <c r="D19" s="28" t="s">
        <v>249</v>
      </c>
    </row>
    <row r="20" spans="1:4">
      <c r="A20" s="27"/>
      <c r="B20" s="11"/>
      <c r="C20" s="11"/>
      <c r="D20" s="28"/>
    </row>
    <row r="21" spans="1:4">
      <c r="A21" s="27"/>
      <c r="B21" s="31"/>
      <c r="C21" s="31">
        <f>MAX((C13-C17),0)</f>
        <v>7.6478087205158793</v>
      </c>
      <c r="D21" s="28" t="s">
        <v>247</v>
      </c>
    </row>
    <row r="22" spans="1:4" ht="15">
      <c r="A22" s="27" t="s">
        <v>149</v>
      </c>
      <c r="B22" s="32">
        <f>EXP(-B3*B4)*(C21*B7+(1-B7)*C23)</f>
        <v>3.6630081716809673</v>
      </c>
      <c r="C22" s="31"/>
      <c r="D22" s="28"/>
    </row>
    <row r="23" spans="1:4">
      <c r="A23" s="29"/>
      <c r="B23" s="33"/>
      <c r="C23" s="34">
        <f>MAX((C15-C19),0)</f>
        <v>0</v>
      </c>
      <c r="D23" s="35" t="s">
        <v>249</v>
      </c>
    </row>
    <row r="24" spans="1:4">
      <c r="A24" t="s">
        <v>166</v>
      </c>
      <c r="C24" s="31" t="s">
        <v>169</v>
      </c>
    </row>
    <row r="25" spans="1:4">
      <c r="A25" t="s">
        <v>167</v>
      </c>
      <c r="C25" s="31" t="s">
        <v>170</v>
      </c>
    </row>
    <row r="26" spans="1:4">
      <c r="A26" t="s">
        <v>168</v>
      </c>
      <c r="B26" s="5"/>
      <c r="C26" s="37" t="s">
        <v>171</v>
      </c>
    </row>
    <row r="27" spans="1:4" ht="15">
      <c r="A27" s="32" t="s">
        <v>175</v>
      </c>
    </row>
  </sheetData>
  <phoneticPr fontId="6" type="noConversion"/>
  <printOptions headings="1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workbookViewId="0">
      <selection sqref="A1:D26"/>
    </sheetView>
  </sheetViews>
  <sheetFormatPr defaultRowHeight="12.75"/>
  <cols>
    <col min="1" max="1" width="11.140625" bestFit="1" customWidth="1"/>
    <col min="4" max="4" width="9.7109375" customWidth="1"/>
  </cols>
  <sheetData>
    <row r="1" spans="1:4" ht="15">
      <c r="A1" s="24" t="s">
        <v>150</v>
      </c>
      <c r="B1" s="24"/>
      <c r="C1" s="24"/>
      <c r="D1" s="24"/>
    </row>
    <row r="2" spans="1:4" ht="15">
      <c r="A2" s="25" t="s">
        <v>185</v>
      </c>
      <c r="B2" s="26">
        <v>0.4</v>
      </c>
      <c r="C2" s="24"/>
      <c r="D2" s="24"/>
    </row>
    <row r="3" spans="1:4" ht="15">
      <c r="A3" s="27" t="s">
        <v>243</v>
      </c>
      <c r="B3" s="28">
        <v>0.1</v>
      </c>
      <c r="C3" s="24"/>
      <c r="D3" s="24"/>
    </row>
    <row r="4" spans="1:4" ht="15">
      <c r="A4" s="27" t="s">
        <v>244</v>
      </c>
      <c r="B4" s="28">
        <v>1</v>
      </c>
      <c r="C4" s="24"/>
      <c r="D4" s="24"/>
    </row>
    <row r="5" spans="1:4" ht="15">
      <c r="A5" s="27" t="s">
        <v>146</v>
      </c>
      <c r="B5" s="83">
        <f>EXP(B2*SQRT(B4))</f>
        <v>1.4918246976412703</v>
      </c>
      <c r="C5" s="24"/>
      <c r="D5" s="24"/>
    </row>
    <row r="6" spans="1:4" ht="15">
      <c r="A6" s="27" t="s">
        <v>147</v>
      </c>
      <c r="B6" s="83">
        <f>1/B5</f>
        <v>0.67032004603563933</v>
      </c>
      <c r="C6" s="24"/>
      <c r="D6" s="24"/>
    </row>
    <row r="7" spans="1:4" ht="15">
      <c r="A7" s="29" t="s">
        <v>148</v>
      </c>
      <c r="B7" s="84">
        <f>(EXP(B3*B4)-B6)/(B5-B6)</f>
        <v>0.52933464368107019</v>
      </c>
      <c r="C7" s="24"/>
      <c r="D7" s="24"/>
    </row>
    <row r="8" spans="1:4" ht="15">
      <c r="A8" t="str">
        <f>A5</f>
        <v>up</v>
      </c>
      <c r="B8" s="83" t="s">
        <v>163</v>
      </c>
      <c r="C8" s="24"/>
      <c r="D8" s="24"/>
    </row>
    <row r="9" spans="1:4" ht="15">
      <c r="A9" t="str">
        <f>A6</f>
        <v>down</v>
      </c>
      <c r="B9" s="83" t="s">
        <v>164</v>
      </c>
      <c r="C9" s="24"/>
      <c r="D9" s="24"/>
    </row>
    <row r="10" spans="1:4" ht="15">
      <c r="A10" t="str">
        <f>A7</f>
        <v>probability</v>
      </c>
      <c r="B10" s="84" t="s">
        <v>165</v>
      </c>
      <c r="C10" s="24"/>
      <c r="D10" s="24"/>
    </row>
    <row r="11" spans="1:4">
      <c r="A11" s="25" t="s">
        <v>245</v>
      </c>
      <c r="B11" s="30">
        <v>0</v>
      </c>
      <c r="C11" s="30">
        <v>1</v>
      </c>
      <c r="D11" s="26"/>
    </row>
    <row r="12" spans="1:4">
      <c r="A12" s="27"/>
      <c r="B12" s="11" t="s">
        <v>175</v>
      </c>
      <c r="C12" s="11"/>
      <c r="D12" s="28"/>
    </row>
    <row r="13" spans="1:4">
      <c r="A13" s="27" t="s">
        <v>246</v>
      </c>
      <c r="B13" s="11"/>
      <c r="C13" s="31">
        <f>B14*B5</f>
        <v>18.647808720515879</v>
      </c>
      <c r="D13" s="28" t="s">
        <v>247</v>
      </c>
    </row>
    <row r="14" spans="1:4">
      <c r="A14" s="27" t="s">
        <v>248</v>
      </c>
      <c r="B14" s="11">
        <v>12.5</v>
      </c>
      <c r="C14" s="11"/>
      <c r="D14" s="28"/>
    </row>
    <row r="15" spans="1:4">
      <c r="A15" s="27"/>
      <c r="B15" s="11"/>
      <c r="C15" s="31">
        <f>B14*B6</f>
        <v>8.3790005754454917</v>
      </c>
      <c r="D15" s="28" t="s">
        <v>249</v>
      </c>
    </row>
    <row r="16" spans="1:4">
      <c r="A16" s="27"/>
      <c r="B16" s="11"/>
      <c r="C16" s="11"/>
      <c r="D16" s="28"/>
    </row>
    <row r="17" spans="1:4">
      <c r="A17" s="27"/>
      <c r="B17" s="11"/>
      <c r="C17" s="11">
        <v>11</v>
      </c>
      <c r="D17" s="28" t="s">
        <v>247</v>
      </c>
    </row>
    <row r="18" spans="1:4">
      <c r="A18" s="27" t="s">
        <v>250</v>
      </c>
      <c r="B18" s="11">
        <v>10</v>
      </c>
      <c r="C18" s="11"/>
      <c r="D18" s="28"/>
    </row>
    <row r="19" spans="1:4">
      <c r="A19" s="27"/>
      <c r="B19" s="11"/>
      <c r="C19" s="11">
        <v>11</v>
      </c>
      <c r="D19" s="28" t="s">
        <v>249</v>
      </c>
    </row>
    <row r="20" spans="1:4">
      <c r="A20" s="27"/>
      <c r="B20" s="11"/>
      <c r="C20" s="11"/>
      <c r="D20" s="28"/>
    </row>
    <row r="21" spans="1:4">
      <c r="A21" s="27"/>
      <c r="B21" s="31"/>
      <c r="C21" s="31">
        <f>MAX((-C13+C17),0)</f>
        <v>0</v>
      </c>
      <c r="D21" s="28" t="s">
        <v>247</v>
      </c>
    </row>
    <row r="22" spans="1:4" ht="15">
      <c r="A22" s="27" t="s">
        <v>151</v>
      </c>
      <c r="B22" s="32">
        <f>EXP(-B3*B4)*(C21*B7+(1-B7)*C23)</f>
        <v>1.1162197700765215</v>
      </c>
      <c r="C22" s="31"/>
      <c r="D22" s="28"/>
    </row>
    <row r="23" spans="1:4">
      <c r="A23" s="29"/>
      <c r="B23" s="33"/>
      <c r="C23" s="34">
        <f>MAX((-C15+C19),0)</f>
        <v>2.6209994245545083</v>
      </c>
      <c r="D23" s="35" t="s">
        <v>249</v>
      </c>
    </row>
    <row r="24" spans="1:4">
      <c r="A24" t="s">
        <v>166</v>
      </c>
      <c r="C24" s="31" t="s">
        <v>172</v>
      </c>
    </row>
    <row r="25" spans="1:4">
      <c r="A25" t="s">
        <v>167</v>
      </c>
      <c r="C25" s="31" t="s">
        <v>173</v>
      </c>
    </row>
    <row r="26" spans="1:4">
      <c r="A26" t="s">
        <v>168</v>
      </c>
      <c r="B26" s="5"/>
      <c r="C26" s="37" t="s">
        <v>171</v>
      </c>
    </row>
    <row r="27" spans="1:4" ht="15">
      <c r="A27" s="32" t="s">
        <v>175</v>
      </c>
    </row>
  </sheetData>
  <phoneticPr fontId="6" type="noConversion"/>
  <printOptions headings="1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9"/>
  <sheetViews>
    <sheetView workbookViewId="0">
      <selection activeCell="H1" sqref="A1:H19"/>
    </sheetView>
  </sheetViews>
  <sheetFormatPr defaultRowHeight="12.75"/>
  <cols>
    <col min="1" max="1" width="11.28515625" bestFit="1" customWidth="1"/>
    <col min="2" max="2" width="9.5703125" bestFit="1" customWidth="1"/>
  </cols>
  <sheetData>
    <row r="1" spans="1:7" ht="15">
      <c r="A1" s="36" t="s">
        <v>251</v>
      </c>
      <c r="B1" s="24"/>
      <c r="C1" s="24"/>
      <c r="D1" s="24"/>
      <c r="E1" s="24"/>
      <c r="F1" s="24"/>
      <c r="G1" s="24"/>
    </row>
    <row r="2" spans="1:7" ht="15">
      <c r="A2" s="24" t="s">
        <v>252</v>
      </c>
      <c r="B2" s="24"/>
      <c r="C2" s="24"/>
      <c r="D2" s="24"/>
    </row>
    <row r="3" spans="1:7">
      <c r="A3" s="25" t="s">
        <v>245</v>
      </c>
      <c r="B3" s="30">
        <v>0</v>
      </c>
      <c r="C3" s="30">
        <v>1</v>
      </c>
      <c r="D3" s="26"/>
      <c r="E3" t="s">
        <v>253</v>
      </c>
      <c r="F3">
        <v>0.4</v>
      </c>
    </row>
    <row r="4" spans="1:7">
      <c r="A4" s="27"/>
      <c r="B4" s="11" t="s">
        <v>175</v>
      </c>
      <c r="C4" s="11"/>
      <c r="D4" s="28"/>
      <c r="E4" t="s">
        <v>243</v>
      </c>
      <c r="F4">
        <v>0.1</v>
      </c>
    </row>
    <row r="5" spans="1:7">
      <c r="A5" s="27" t="s">
        <v>246</v>
      </c>
      <c r="B5" s="11"/>
      <c r="C5" s="31">
        <f>B6*F6</f>
        <v>18.647808720515879</v>
      </c>
      <c r="D5" s="28" t="s">
        <v>247</v>
      </c>
      <c r="E5" t="s">
        <v>244</v>
      </c>
      <c r="F5">
        <v>1</v>
      </c>
    </row>
    <row r="6" spans="1:7">
      <c r="A6" s="27" t="s">
        <v>248</v>
      </c>
      <c r="B6" s="11">
        <v>12.5</v>
      </c>
      <c r="C6" s="11"/>
      <c r="D6" s="28"/>
      <c r="E6" t="s">
        <v>247</v>
      </c>
      <c r="F6" s="2">
        <f>EXP(F3*SQRT(F5))</f>
        <v>1.4918246976412703</v>
      </c>
      <c r="G6" s="2" t="s">
        <v>254</v>
      </c>
    </row>
    <row r="7" spans="1:7">
      <c r="A7" s="27"/>
      <c r="B7" s="11"/>
      <c r="C7" s="31">
        <f>B6*F7</f>
        <v>8.3790005754454917</v>
      </c>
      <c r="D7" s="28" t="s">
        <v>249</v>
      </c>
      <c r="E7" t="s">
        <v>249</v>
      </c>
      <c r="F7" s="2">
        <f>1/F6</f>
        <v>0.67032004603563933</v>
      </c>
      <c r="G7" s="2" t="s">
        <v>255</v>
      </c>
    </row>
    <row r="8" spans="1:7">
      <c r="A8" s="27"/>
      <c r="B8" s="11"/>
      <c r="C8" s="11"/>
      <c r="D8" s="28"/>
      <c r="E8" t="s">
        <v>144</v>
      </c>
      <c r="F8" s="2">
        <f>(EXP(F4*F5)-F7)/(F6-F7)</f>
        <v>0.52933464368107019</v>
      </c>
      <c r="G8" s="6" t="s">
        <v>256</v>
      </c>
    </row>
    <row r="9" spans="1:7">
      <c r="A9" s="27"/>
      <c r="B9" s="11"/>
      <c r="C9" s="11">
        <f>B10*1.1</f>
        <v>11</v>
      </c>
      <c r="D9" s="28" t="s">
        <v>247</v>
      </c>
    </row>
    <row r="10" spans="1:7">
      <c r="A10" s="27" t="s">
        <v>250</v>
      </c>
      <c r="B10" s="11">
        <v>10</v>
      </c>
      <c r="C10" s="11"/>
      <c r="D10" s="28"/>
    </row>
    <row r="11" spans="1:7">
      <c r="A11" s="27"/>
      <c r="B11" s="11"/>
      <c r="C11" s="11">
        <f>B10*1.1</f>
        <v>11</v>
      </c>
      <c r="D11" s="28" t="s">
        <v>249</v>
      </c>
    </row>
    <row r="12" spans="1:7">
      <c r="A12" s="27"/>
      <c r="B12" s="11"/>
      <c r="C12" s="11"/>
      <c r="D12" s="28"/>
    </row>
    <row r="13" spans="1:7">
      <c r="A13" s="27"/>
      <c r="B13" s="31"/>
      <c r="C13" s="31">
        <f>MAX(C5-C9,0)</f>
        <v>7.6478087205158793</v>
      </c>
      <c r="D13" s="28" t="s">
        <v>247</v>
      </c>
      <c r="E13" t="s">
        <v>257</v>
      </c>
      <c r="F13" s="31" t="s">
        <v>158</v>
      </c>
    </row>
    <row r="14" spans="1:7" ht="15">
      <c r="A14" s="27" t="s">
        <v>258</v>
      </c>
      <c r="B14" s="32">
        <f>EXP(-F4*F5)*C13*F8</f>
        <v>3.6630081716809673</v>
      </c>
      <c r="C14" s="31"/>
      <c r="D14" s="28"/>
      <c r="E14" t="s">
        <v>259</v>
      </c>
      <c r="F14" s="37" t="s">
        <v>260</v>
      </c>
    </row>
    <row r="15" spans="1:7">
      <c r="A15" s="27"/>
      <c r="B15" s="11"/>
      <c r="C15" s="31">
        <f>MAX(C7-C11,0)</f>
        <v>0</v>
      </c>
      <c r="D15" s="28" t="s">
        <v>249</v>
      </c>
      <c r="F15" s="38"/>
    </row>
    <row r="16" spans="1:7">
      <c r="A16" s="27"/>
      <c r="B16" s="11" t="s">
        <v>261</v>
      </c>
      <c r="C16" s="11"/>
      <c r="D16" s="28"/>
      <c r="F16" s="38"/>
    </row>
    <row r="17" spans="1:6">
      <c r="A17" s="27" t="s">
        <v>262</v>
      </c>
      <c r="B17" s="31"/>
      <c r="C17" s="31">
        <f>MAX(C5-C9,0)</f>
        <v>7.6478087205158793</v>
      </c>
      <c r="D17" s="28" t="s">
        <v>247</v>
      </c>
      <c r="F17" s="38"/>
    </row>
    <row r="18" spans="1:6" ht="15">
      <c r="A18" s="27" t="s">
        <v>263</v>
      </c>
      <c r="B18" s="32">
        <f>EXP(-F4*F5)*(C17*F8+(1-F8)*C19)</f>
        <v>4.1740589226056821</v>
      </c>
      <c r="C18" s="31" t="s">
        <v>175</v>
      </c>
      <c r="D18" s="28"/>
      <c r="E18" t="s">
        <v>264</v>
      </c>
      <c r="F18" s="37" t="s">
        <v>265</v>
      </c>
    </row>
    <row r="19" spans="1:6">
      <c r="A19" s="29"/>
      <c r="B19" s="33"/>
      <c r="C19" s="34">
        <f>MAX(C7-C11,1.2)</f>
        <v>1.2</v>
      </c>
      <c r="D19" s="35" t="s">
        <v>249</v>
      </c>
      <c r="E19" t="s">
        <v>266</v>
      </c>
      <c r="F19" s="34" t="s">
        <v>159</v>
      </c>
    </row>
  </sheetData>
  <phoneticPr fontId="6" type="noConversion"/>
  <printOptions headings="1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2"/>
  <sheetViews>
    <sheetView workbookViewId="0">
      <selection sqref="A1:N31"/>
    </sheetView>
  </sheetViews>
  <sheetFormatPr defaultRowHeight="12.75"/>
  <cols>
    <col min="1" max="1" width="15.7109375" bestFit="1" customWidth="1"/>
    <col min="2" max="9" width="5.7109375" customWidth="1"/>
    <col min="10" max="13" width="6.5703125" customWidth="1"/>
    <col min="14" max="14" width="7.140625" customWidth="1"/>
  </cols>
  <sheetData>
    <row r="1" spans="1:14">
      <c r="A1" t="s">
        <v>239</v>
      </c>
      <c r="B1" s="13">
        <v>100</v>
      </c>
      <c r="C1" s="13">
        <f>B1</f>
        <v>100</v>
      </c>
      <c r="D1" s="13">
        <f t="shared" ref="D1:N4" si="0">C1</f>
        <v>100</v>
      </c>
      <c r="E1" s="13">
        <f t="shared" si="0"/>
        <v>100</v>
      </c>
      <c r="F1" s="13">
        <f t="shared" si="0"/>
        <v>100</v>
      </c>
      <c r="G1" s="13">
        <f t="shared" si="0"/>
        <v>100</v>
      </c>
      <c r="H1" s="13">
        <f t="shared" si="0"/>
        <v>100</v>
      </c>
      <c r="I1" s="13">
        <f t="shared" si="0"/>
        <v>100</v>
      </c>
      <c r="J1" s="13">
        <f t="shared" si="0"/>
        <v>100</v>
      </c>
      <c r="K1" s="13">
        <f t="shared" si="0"/>
        <v>100</v>
      </c>
      <c r="L1" s="13">
        <f t="shared" si="0"/>
        <v>100</v>
      </c>
      <c r="M1" s="13">
        <f t="shared" si="0"/>
        <v>100</v>
      </c>
      <c r="N1" s="13">
        <f t="shared" si="0"/>
        <v>100</v>
      </c>
    </row>
    <row r="2" spans="1:14">
      <c r="A2" t="s">
        <v>233</v>
      </c>
      <c r="B2" s="21">
        <v>100</v>
      </c>
      <c r="C2" s="21">
        <f>B2</f>
        <v>100</v>
      </c>
      <c r="D2" s="21">
        <f t="shared" si="0"/>
        <v>100</v>
      </c>
      <c r="E2" s="21">
        <f t="shared" si="0"/>
        <v>100</v>
      </c>
      <c r="F2" s="21">
        <f t="shared" si="0"/>
        <v>100</v>
      </c>
      <c r="G2" s="21">
        <f t="shared" si="0"/>
        <v>100</v>
      </c>
      <c r="H2" s="21">
        <f t="shared" si="0"/>
        <v>100</v>
      </c>
      <c r="I2" s="21">
        <f t="shared" si="0"/>
        <v>100</v>
      </c>
      <c r="J2" s="21">
        <f t="shared" si="0"/>
        <v>100</v>
      </c>
      <c r="K2" s="21">
        <f t="shared" si="0"/>
        <v>100</v>
      </c>
      <c r="L2" s="21">
        <f t="shared" si="0"/>
        <v>100</v>
      </c>
      <c r="M2" s="21">
        <f t="shared" si="0"/>
        <v>100</v>
      </c>
      <c r="N2" s="21">
        <f t="shared" si="0"/>
        <v>100</v>
      </c>
    </row>
    <row r="3" spans="1:14">
      <c r="A3" s="7" t="s">
        <v>237</v>
      </c>
      <c r="B3" s="22">
        <v>0.05</v>
      </c>
      <c r="C3" s="22">
        <f>B3</f>
        <v>0.05</v>
      </c>
      <c r="D3" s="22">
        <f t="shared" si="0"/>
        <v>0.05</v>
      </c>
      <c r="E3" s="22">
        <f t="shared" si="0"/>
        <v>0.05</v>
      </c>
      <c r="F3" s="22">
        <f t="shared" si="0"/>
        <v>0.05</v>
      </c>
      <c r="G3" s="22">
        <f t="shared" si="0"/>
        <v>0.05</v>
      </c>
      <c r="H3" s="22">
        <f t="shared" si="0"/>
        <v>0.05</v>
      </c>
      <c r="I3" s="22">
        <f t="shared" si="0"/>
        <v>0.05</v>
      </c>
      <c r="J3" s="22">
        <f t="shared" si="0"/>
        <v>0.05</v>
      </c>
      <c r="K3" s="22">
        <f t="shared" si="0"/>
        <v>0.05</v>
      </c>
      <c r="L3" s="22">
        <f t="shared" si="0"/>
        <v>0.05</v>
      </c>
      <c r="M3" s="22">
        <f t="shared" si="0"/>
        <v>0.05</v>
      </c>
      <c r="N3" s="22">
        <f t="shared" si="0"/>
        <v>0.05</v>
      </c>
    </row>
    <row r="4" spans="1:14">
      <c r="A4" s="7" t="s">
        <v>185</v>
      </c>
      <c r="B4" s="22">
        <v>0.5</v>
      </c>
      <c r="C4" s="22">
        <f>B4</f>
        <v>0.5</v>
      </c>
      <c r="D4" s="22">
        <f t="shared" si="0"/>
        <v>0.5</v>
      </c>
      <c r="E4" s="22">
        <f t="shared" si="0"/>
        <v>0.5</v>
      </c>
      <c r="F4" s="22">
        <f t="shared" si="0"/>
        <v>0.5</v>
      </c>
      <c r="G4" s="22">
        <f t="shared" si="0"/>
        <v>0.5</v>
      </c>
      <c r="H4" s="22">
        <f t="shared" si="0"/>
        <v>0.5</v>
      </c>
      <c r="I4" s="22">
        <f t="shared" si="0"/>
        <v>0.5</v>
      </c>
      <c r="J4" s="22">
        <f t="shared" si="0"/>
        <v>0.5</v>
      </c>
      <c r="K4" s="22">
        <f t="shared" si="0"/>
        <v>0.5</v>
      </c>
      <c r="L4" s="22">
        <f t="shared" si="0"/>
        <v>0.5</v>
      </c>
      <c r="M4" s="22">
        <f t="shared" si="0"/>
        <v>0.5</v>
      </c>
      <c r="N4" s="22">
        <f t="shared" si="0"/>
        <v>0.5</v>
      </c>
    </row>
    <row r="5" spans="1:14">
      <c r="A5" s="7" t="s">
        <v>235</v>
      </c>
      <c r="B5" s="22">
        <v>0.5</v>
      </c>
      <c r="C5" s="22">
        <f>B5+0.5</f>
        <v>1</v>
      </c>
      <c r="D5" s="22">
        <f t="shared" ref="D5:N5" si="1">C5+0.5</f>
        <v>1.5</v>
      </c>
      <c r="E5" s="22">
        <f t="shared" si="1"/>
        <v>2</v>
      </c>
      <c r="F5" s="22">
        <f t="shared" si="1"/>
        <v>2.5</v>
      </c>
      <c r="G5" s="22">
        <f t="shared" si="1"/>
        <v>3</v>
      </c>
      <c r="H5" s="22">
        <f t="shared" si="1"/>
        <v>3.5</v>
      </c>
      <c r="I5" s="22">
        <f t="shared" si="1"/>
        <v>4</v>
      </c>
      <c r="J5" s="22">
        <f t="shared" si="1"/>
        <v>4.5</v>
      </c>
      <c r="K5" s="22">
        <f t="shared" si="1"/>
        <v>5</v>
      </c>
      <c r="L5" s="22">
        <f t="shared" si="1"/>
        <v>5.5</v>
      </c>
      <c r="M5" s="22">
        <f t="shared" si="1"/>
        <v>6</v>
      </c>
      <c r="N5" s="22">
        <f t="shared" si="1"/>
        <v>6.5</v>
      </c>
    </row>
    <row r="6" spans="1:14">
      <c r="A6" s="7" t="s">
        <v>236</v>
      </c>
      <c r="B6" s="14">
        <f>B1*B11-B2*B12*EXP(-B3*B5)</f>
        <v>15.127174001173778</v>
      </c>
      <c r="C6" s="14">
        <f t="shared" ref="C6:N6" si="2">C1*C11-C2*C12*EXP(-C3*C5)</f>
        <v>21.792604212866856</v>
      </c>
      <c r="D6" s="14">
        <f t="shared" si="2"/>
        <v>26.965730443918659</v>
      </c>
      <c r="E6" s="14">
        <f t="shared" si="2"/>
        <v>31.327683827656472</v>
      </c>
      <c r="F6" s="14">
        <f t="shared" si="2"/>
        <v>35.147967259968361</v>
      </c>
      <c r="G6" s="14">
        <f t="shared" si="2"/>
        <v>38.567826818938045</v>
      </c>
      <c r="H6" s="14">
        <f t="shared" si="2"/>
        <v>41.673061819427907</v>
      </c>
      <c r="I6" s="14">
        <f t="shared" si="2"/>
        <v>44.520867872319315</v>
      </c>
      <c r="J6" s="14">
        <f t="shared" si="2"/>
        <v>47.151908492047369</v>
      </c>
      <c r="K6" s="14">
        <f t="shared" si="2"/>
        <v>49.596495372329564</v>
      </c>
      <c r="L6" s="14">
        <f t="shared" si="2"/>
        <v>51.878058761602006</v>
      </c>
      <c r="M6" s="14">
        <f t="shared" si="2"/>
        <v>54.015236631904969</v>
      </c>
      <c r="N6" s="23">
        <f t="shared" si="2"/>
        <v>56.023202828815386</v>
      </c>
    </row>
    <row r="7" spans="1:14">
      <c r="A7" t="s">
        <v>240</v>
      </c>
      <c r="B7" s="3">
        <f t="shared" ref="B7:N7" si="3">IF(B1&gt;B2,B1-B2,0)</f>
        <v>0</v>
      </c>
      <c r="C7" s="3">
        <f t="shared" si="3"/>
        <v>0</v>
      </c>
      <c r="D7" s="3">
        <f t="shared" si="3"/>
        <v>0</v>
      </c>
      <c r="E7" s="3">
        <f t="shared" si="3"/>
        <v>0</v>
      </c>
      <c r="F7" s="3">
        <f t="shared" si="3"/>
        <v>0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0</v>
      </c>
      <c r="N7">
        <f t="shared" si="3"/>
        <v>0</v>
      </c>
    </row>
    <row r="9" spans="1:14">
      <c r="A9" s="7" t="s">
        <v>176</v>
      </c>
      <c r="B9" s="14">
        <f>(LN(B1/B2)+(B3+B4^2/2)*B5)/(B4*SQRT(B5))</f>
        <v>0.24748737341529159</v>
      </c>
      <c r="C9" s="14">
        <f t="shared" ref="C9:N9" si="4">(LN(C1/C2)+(C3+C4^2/2)*C5)/(C4*SQRT(C5))</f>
        <v>0.35</v>
      </c>
      <c r="D9" s="14">
        <f t="shared" si="4"/>
        <v>0.42866070498705611</v>
      </c>
      <c r="E9" s="14">
        <f t="shared" si="4"/>
        <v>0.49497474683058318</v>
      </c>
      <c r="F9" s="14">
        <f t="shared" si="4"/>
        <v>0.55339859052946638</v>
      </c>
      <c r="G9" s="14">
        <f t="shared" si="4"/>
        <v>0.60621778264910697</v>
      </c>
      <c r="H9" s="14">
        <f t="shared" si="4"/>
        <v>0.65479004268543972</v>
      </c>
      <c r="I9" s="14">
        <f t="shared" si="4"/>
        <v>0.7</v>
      </c>
      <c r="J9" s="14">
        <f t="shared" si="4"/>
        <v>0.74246212024587499</v>
      </c>
      <c r="K9" s="14">
        <f t="shared" si="4"/>
        <v>0.78262379212492639</v>
      </c>
      <c r="L9" s="14">
        <f t="shared" si="4"/>
        <v>0.82082275796910009</v>
      </c>
      <c r="M9" s="14">
        <f t="shared" si="4"/>
        <v>0.85732140997411221</v>
      </c>
      <c r="N9" s="14">
        <f t="shared" si="4"/>
        <v>0.89232841487873737</v>
      </c>
    </row>
    <row r="10" spans="1:14">
      <c r="A10" s="7" t="s">
        <v>177</v>
      </c>
      <c r="B10" s="14">
        <f>B9-B4*SQRT(B5)</f>
        <v>-0.1060660171779822</v>
      </c>
      <c r="C10" s="14">
        <f t="shared" ref="C10:N10" si="5">C9-C4*SQRT(C5)</f>
        <v>-0.15000000000000002</v>
      </c>
      <c r="D10" s="14">
        <f t="shared" si="5"/>
        <v>-0.18371173070873836</v>
      </c>
      <c r="E10" s="14">
        <f t="shared" si="5"/>
        <v>-0.21213203435596439</v>
      </c>
      <c r="F10" s="14">
        <f t="shared" si="5"/>
        <v>-0.2371708245126285</v>
      </c>
      <c r="G10" s="14">
        <f t="shared" si="5"/>
        <v>-0.25980762113533162</v>
      </c>
      <c r="H10" s="14">
        <f t="shared" si="5"/>
        <v>-0.28062430400804561</v>
      </c>
      <c r="I10" s="14">
        <f t="shared" si="5"/>
        <v>-0.30000000000000004</v>
      </c>
      <c r="J10" s="14">
        <f t="shared" si="5"/>
        <v>-0.3181980515339462</v>
      </c>
      <c r="K10" s="14">
        <f t="shared" si="5"/>
        <v>-0.33541019662496852</v>
      </c>
      <c r="L10" s="14">
        <f t="shared" si="5"/>
        <v>-0.35178118198675734</v>
      </c>
      <c r="M10" s="14">
        <f t="shared" si="5"/>
        <v>-0.36742346141747673</v>
      </c>
      <c r="N10" s="14">
        <f t="shared" si="5"/>
        <v>-0.38242646351945875</v>
      </c>
    </row>
    <row r="11" spans="1:14">
      <c r="A11" s="7" t="s">
        <v>186</v>
      </c>
      <c r="B11" s="14">
        <f>NORMSDIST(B9)</f>
        <v>0.59773446890843829</v>
      </c>
      <c r="C11" s="14">
        <f t="shared" ref="C11:N12" si="6">NORMSDIST(C9)</f>
        <v>0.6368306511756191</v>
      </c>
      <c r="D11" s="14">
        <f t="shared" si="6"/>
        <v>0.66591491944679637</v>
      </c>
      <c r="E11" s="14">
        <f t="shared" si="6"/>
        <v>0.68969102678115513</v>
      </c>
      <c r="F11" s="14">
        <f t="shared" si="6"/>
        <v>0.71000474807249581</v>
      </c>
      <c r="G11" s="14">
        <f t="shared" si="6"/>
        <v>0.72781492707169515</v>
      </c>
      <c r="H11" s="14">
        <f t="shared" si="6"/>
        <v>0.74369852878480147</v>
      </c>
      <c r="I11" s="14">
        <f t="shared" si="6"/>
        <v>0.75803634777692697</v>
      </c>
      <c r="J11" s="14">
        <f t="shared" si="6"/>
        <v>0.77109630290452913</v>
      </c>
      <c r="K11" s="14">
        <f t="shared" si="6"/>
        <v>0.7830759671167804</v>
      </c>
      <c r="L11" s="14">
        <f t="shared" si="6"/>
        <v>0.79412638323151907</v>
      </c>
      <c r="M11" s="14">
        <f t="shared" si="6"/>
        <v>0.80436636035868025</v>
      </c>
      <c r="N11" s="14">
        <f t="shared" si="6"/>
        <v>0.8138915359012413</v>
      </c>
    </row>
    <row r="12" spans="1:14">
      <c r="A12" s="7" t="s">
        <v>187</v>
      </c>
      <c r="B12" s="14">
        <f>NORMSDIST(B10)</f>
        <v>0.45776498668838594</v>
      </c>
      <c r="C12" s="14">
        <f t="shared" si="6"/>
        <v>0.44038230762975744</v>
      </c>
      <c r="D12" s="14">
        <f t="shared" si="6"/>
        <v>0.42711980288404666</v>
      </c>
      <c r="E12" s="14">
        <f t="shared" si="6"/>
        <v>0.41600201428631817</v>
      </c>
      <c r="F12" s="14">
        <f t="shared" si="6"/>
        <v>0.40626213465768424</v>
      </c>
      <c r="G12" s="14">
        <f t="shared" si="6"/>
        <v>0.39750608598211906</v>
      </c>
      <c r="H12" s="14">
        <f t="shared" si="6"/>
        <v>0.38949928644460752</v>
      </c>
      <c r="I12" s="14">
        <f t="shared" si="6"/>
        <v>0.38208857781104733</v>
      </c>
      <c r="J12" s="14">
        <f t="shared" si="6"/>
        <v>0.37516735533499457</v>
      </c>
      <c r="K12" s="14">
        <f t="shared" si="6"/>
        <v>0.36865783860820905</v>
      </c>
      <c r="L12" s="14">
        <f t="shared" si="6"/>
        <v>0.36250118612363513</v>
      </c>
      <c r="M12" s="14">
        <f t="shared" si="6"/>
        <v>0.35665158693922877</v>
      </c>
      <c r="N12" s="14">
        <f t="shared" si="6"/>
        <v>0.35107253218090073</v>
      </c>
    </row>
  </sheetData>
  <phoneticPr fontId="6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2"/>
  <sheetViews>
    <sheetView workbookViewId="0">
      <selection sqref="A1:N33"/>
    </sheetView>
  </sheetViews>
  <sheetFormatPr defaultRowHeight="12.75"/>
  <cols>
    <col min="1" max="1" width="15.7109375" bestFit="1" customWidth="1"/>
    <col min="2" max="14" width="7" bestFit="1" customWidth="1"/>
  </cols>
  <sheetData>
    <row r="1" spans="1:14">
      <c r="A1" t="s">
        <v>239</v>
      </c>
      <c r="B1" s="15">
        <v>100</v>
      </c>
      <c r="C1" s="15">
        <f>B1</f>
        <v>100</v>
      </c>
      <c r="D1" s="15">
        <f t="shared" ref="D1:N5" si="0">C1</f>
        <v>100</v>
      </c>
      <c r="E1" s="15">
        <f t="shared" si="0"/>
        <v>100</v>
      </c>
      <c r="F1" s="15">
        <f t="shared" si="0"/>
        <v>100</v>
      </c>
      <c r="G1" s="15">
        <f t="shared" si="0"/>
        <v>100</v>
      </c>
      <c r="H1" s="15">
        <f t="shared" si="0"/>
        <v>100</v>
      </c>
      <c r="I1" s="15">
        <f t="shared" si="0"/>
        <v>100</v>
      </c>
      <c r="J1" s="15">
        <f t="shared" si="0"/>
        <v>100</v>
      </c>
      <c r="K1" s="15">
        <f t="shared" si="0"/>
        <v>100</v>
      </c>
      <c r="L1" s="15">
        <f t="shared" si="0"/>
        <v>100</v>
      </c>
      <c r="M1" s="15">
        <f t="shared" si="0"/>
        <v>100</v>
      </c>
      <c r="N1" s="15">
        <f t="shared" si="0"/>
        <v>100</v>
      </c>
    </row>
    <row r="2" spans="1:14">
      <c r="A2" t="s">
        <v>233</v>
      </c>
      <c r="B2" s="21">
        <v>100</v>
      </c>
      <c r="C2" s="21">
        <f>B2</f>
        <v>100</v>
      </c>
      <c r="D2" s="21">
        <f t="shared" si="0"/>
        <v>100</v>
      </c>
      <c r="E2" s="21">
        <f t="shared" si="0"/>
        <v>100</v>
      </c>
      <c r="F2" s="21">
        <f t="shared" si="0"/>
        <v>100</v>
      </c>
      <c r="G2" s="21">
        <f t="shared" si="0"/>
        <v>100</v>
      </c>
      <c r="H2" s="21">
        <f t="shared" si="0"/>
        <v>100</v>
      </c>
      <c r="I2" s="21">
        <f t="shared" si="0"/>
        <v>100</v>
      </c>
      <c r="J2" s="21">
        <f t="shared" si="0"/>
        <v>100</v>
      </c>
      <c r="K2" s="21">
        <f t="shared" si="0"/>
        <v>100</v>
      </c>
      <c r="L2" s="21">
        <f t="shared" si="0"/>
        <v>100</v>
      </c>
      <c r="M2" s="21">
        <f t="shared" si="0"/>
        <v>100</v>
      </c>
      <c r="N2" s="21">
        <f t="shared" si="0"/>
        <v>100</v>
      </c>
    </row>
    <row r="3" spans="1:14">
      <c r="A3" s="7" t="s">
        <v>237</v>
      </c>
      <c r="B3" s="22">
        <v>0.05</v>
      </c>
      <c r="C3" s="22">
        <f>B3</f>
        <v>0.05</v>
      </c>
      <c r="D3" s="22">
        <f t="shared" si="0"/>
        <v>0.05</v>
      </c>
      <c r="E3" s="22">
        <f t="shared" si="0"/>
        <v>0.05</v>
      </c>
      <c r="F3" s="22">
        <f t="shared" si="0"/>
        <v>0.05</v>
      </c>
      <c r="G3" s="22">
        <f t="shared" si="0"/>
        <v>0.05</v>
      </c>
      <c r="H3" s="22">
        <f t="shared" si="0"/>
        <v>0.05</v>
      </c>
      <c r="I3" s="22">
        <f t="shared" si="0"/>
        <v>0.05</v>
      </c>
      <c r="J3" s="22">
        <f t="shared" si="0"/>
        <v>0.05</v>
      </c>
      <c r="K3" s="22">
        <f t="shared" si="0"/>
        <v>0.05</v>
      </c>
      <c r="L3" s="22">
        <f t="shared" si="0"/>
        <v>0.05</v>
      </c>
      <c r="M3" s="22">
        <f t="shared" si="0"/>
        <v>0.05</v>
      </c>
      <c r="N3" s="22">
        <f t="shared" si="0"/>
        <v>0.05</v>
      </c>
    </row>
    <row r="4" spans="1:14">
      <c r="A4" s="7" t="s">
        <v>185</v>
      </c>
      <c r="B4" s="22">
        <v>0.05</v>
      </c>
      <c r="C4" s="22">
        <f>B4+0.05</f>
        <v>0.1</v>
      </c>
      <c r="D4" s="22">
        <f t="shared" ref="D4:N4" si="1">C4+0.05</f>
        <v>0.15000000000000002</v>
      </c>
      <c r="E4" s="22">
        <f t="shared" si="1"/>
        <v>0.2</v>
      </c>
      <c r="F4" s="22">
        <f t="shared" si="1"/>
        <v>0.25</v>
      </c>
      <c r="G4" s="22">
        <f t="shared" si="1"/>
        <v>0.3</v>
      </c>
      <c r="H4" s="22">
        <f t="shared" si="1"/>
        <v>0.35</v>
      </c>
      <c r="I4" s="22">
        <f t="shared" si="1"/>
        <v>0.39999999999999997</v>
      </c>
      <c r="J4" s="22">
        <f t="shared" si="1"/>
        <v>0.44999999999999996</v>
      </c>
      <c r="K4" s="22">
        <f t="shared" si="1"/>
        <v>0.49999999999999994</v>
      </c>
      <c r="L4" s="22">
        <f t="shared" si="1"/>
        <v>0.54999999999999993</v>
      </c>
      <c r="M4" s="22">
        <f t="shared" si="1"/>
        <v>0.6</v>
      </c>
      <c r="N4" s="22">
        <f t="shared" si="1"/>
        <v>0.65</v>
      </c>
    </row>
    <row r="5" spans="1:14">
      <c r="A5" s="7" t="s">
        <v>235</v>
      </c>
      <c r="B5" s="22">
        <v>1</v>
      </c>
      <c r="C5" s="22">
        <f>B5</f>
        <v>1</v>
      </c>
      <c r="D5" s="22">
        <f t="shared" si="0"/>
        <v>1</v>
      </c>
      <c r="E5" s="22">
        <f t="shared" si="0"/>
        <v>1</v>
      </c>
      <c r="F5" s="22">
        <f t="shared" si="0"/>
        <v>1</v>
      </c>
      <c r="G5" s="22">
        <f t="shared" si="0"/>
        <v>1</v>
      </c>
      <c r="H5" s="22">
        <f t="shared" si="0"/>
        <v>1</v>
      </c>
      <c r="I5" s="22">
        <f t="shared" si="0"/>
        <v>1</v>
      </c>
      <c r="J5" s="22">
        <f t="shared" si="0"/>
        <v>1</v>
      </c>
      <c r="K5" s="22">
        <f t="shared" si="0"/>
        <v>1</v>
      </c>
      <c r="L5" s="22">
        <f t="shared" si="0"/>
        <v>1</v>
      </c>
      <c r="M5" s="22">
        <f t="shared" si="0"/>
        <v>1</v>
      </c>
      <c r="N5" s="22">
        <f t="shared" si="0"/>
        <v>1</v>
      </c>
    </row>
    <row r="6" spans="1:14">
      <c r="A6" s="7" t="s">
        <v>236</v>
      </c>
      <c r="B6" s="14">
        <f>B1*B11-B2*B12*EXP(-B3*B5)</f>
        <v>5.283268987649933</v>
      </c>
      <c r="C6" s="14">
        <f t="shared" ref="C6:N6" si="2">C1*C11-C2*C12*EXP(-C3*C5)</f>
        <v>6.804957708822144</v>
      </c>
      <c r="D6" s="14">
        <f t="shared" si="2"/>
        <v>8.5916583120891445</v>
      </c>
      <c r="E6" s="14">
        <f t="shared" si="2"/>
        <v>10.450583572185572</v>
      </c>
      <c r="F6" s="14">
        <f t="shared" si="2"/>
        <v>12.335998930368717</v>
      </c>
      <c r="G6" s="14">
        <f t="shared" si="2"/>
        <v>14.231254785985826</v>
      </c>
      <c r="H6" s="14">
        <f t="shared" si="2"/>
        <v>16.1284288815759</v>
      </c>
      <c r="I6" s="14">
        <f t="shared" si="2"/>
        <v>18.022951450216681</v>
      </c>
      <c r="J6" s="14">
        <f t="shared" si="2"/>
        <v>19.911769631467692</v>
      </c>
      <c r="K6" s="14">
        <f t="shared" si="2"/>
        <v>21.792604212866848</v>
      </c>
      <c r="L6" s="14">
        <f t="shared" si="2"/>
        <v>23.663609944142415</v>
      </c>
      <c r="M6" s="14">
        <f t="shared" si="2"/>
        <v>25.52320566560951</v>
      </c>
      <c r="N6" s="23">
        <f t="shared" si="2"/>
        <v>27.36998330683479</v>
      </c>
    </row>
    <row r="7" spans="1:14">
      <c r="A7" t="s">
        <v>240</v>
      </c>
      <c r="B7" s="3">
        <f t="shared" ref="B7:N7" si="3">IF(B1&gt;B2,B1-B2,0)</f>
        <v>0</v>
      </c>
      <c r="C7" s="3">
        <f t="shared" si="3"/>
        <v>0</v>
      </c>
      <c r="D7" s="3">
        <f t="shared" si="3"/>
        <v>0</v>
      </c>
      <c r="E7" s="3">
        <f t="shared" si="3"/>
        <v>0</v>
      </c>
      <c r="F7" s="3">
        <f t="shared" si="3"/>
        <v>0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0</v>
      </c>
      <c r="N7">
        <f t="shared" si="3"/>
        <v>0</v>
      </c>
    </row>
    <row r="9" spans="1:14">
      <c r="A9" s="7" t="s">
        <v>176</v>
      </c>
      <c r="B9" s="14">
        <f>(LN(B1/B2)+(B3+B4^2/2)*B5)/(B4*SQRT(B5))</f>
        <v>1.0249999999999999</v>
      </c>
      <c r="C9" s="14">
        <f t="shared" ref="C9:N9" si="4">(LN(C1/C2)+(C3+C4^2/2)*C5)/(C4*SQRT(C5))</f>
        <v>0.55000000000000004</v>
      </c>
      <c r="D9" s="14">
        <f t="shared" si="4"/>
        <v>0.40833333333333333</v>
      </c>
      <c r="E9" s="14">
        <f t="shared" si="4"/>
        <v>0.35000000000000003</v>
      </c>
      <c r="F9" s="14">
        <f t="shared" si="4"/>
        <v>0.32500000000000001</v>
      </c>
      <c r="G9" s="14">
        <f t="shared" si="4"/>
        <v>0.31666666666666671</v>
      </c>
      <c r="H9" s="14">
        <f t="shared" si="4"/>
        <v>0.31785714285714284</v>
      </c>
      <c r="I9" s="14">
        <f t="shared" si="4"/>
        <v>0.32500000000000001</v>
      </c>
      <c r="J9" s="14">
        <f t="shared" si="4"/>
        <v>0.33611111111111114</v>
      </c>
      <c r="K9" s="14">
        <f t="shared" si="4"/>
        <v>0.35000000000000003</v>
      </c>
      <c r="L9" s="14">
        <f t="shared" si="4"/>
        <v>0.36590909090909091</v>
      </c>
      <c r="M9" s="14">
        <f t="shared" si="4"/>
        <v>0.3833333333333333</v>
      </c>
      <c r="N9" s="14">
        <f t="shared" si="4"/>
        <v>0.40192307692307699</v>
      </c>
    </row>
    <row r="10" spans="1:14">
      <c r="A10" s="7" t="s">
        <v>177</v>
      </c>
      <c r="B10" s="14">
        <f>B9-B4*SQRT(B5)</f>
        <v>0.97499999999999987</v>
      </c>
      <c r="C10" s="14">
        <f t="shared" ref="C10:N10" si="5">C9-C4*SQRT(C5)</f>
        <v>0.45000000000000007</v>
      </c>
      <c r="D10" s="14">
        <f t="shared" si="5"/>
        <v>0.2583333333333333</v>
      </c>
      <c r="E10" s="14">
        <f t="shared" si="5"/>
        <v>0.15000000000000002</v>
      </c>
      <c r="F10" s="14">
        <f t="shared" si="5"/>
        <v>7.5000000000000011E-2</v>
      </c>
      <c r="G10" s="14">
        <f t="shared" si="5"/>
        <v>1.6666666666666718E-2</v>
      </c>
      <c r="H10" s="14">
        <f t="shared" si="5"/>
        <v>-3.214285714285714E-2</v>
      </c>
      <c r="I10" s="14">
        <f t="shared" si="5"/>
        <v>-7.4999999999999956E-2</v>
      </c>
      <c r="J10" s="14">
        <f t="shared" si="5"/>
        <v>-0.11388888888888882</v>
      </c>
      <c r="K10" s="14">
        <f t="shared" si="5"/>
        <v>-0.14999999999999991</v>
      </c>
      <c r="L10" s="14">
        <f t="shared" si="5"/>
        <v>-0.18409090909090903</v>
      </c>
      <c r="M10" s="14">
        <f t="shared" si="5"/>
        <v>-0.21666666666666667</v>
      </c>
      <c r="N10" s="14">
        <f t="shared" si="5"/>
        <v>-0.24807692307692303</v>
      </c>
    </row>
    <row r="11" spans="1:14">
      <c r="A11" s="7" t="s">
        <v>186</v>
      </c>
      <c r="B11" s="14">
        <f>NORMSDIST(B9)</f>
        <v>0.84731840616688969</v>
      </c>
      <c r="C11" s="14">
        <f t="shared" ref="C11:N12" si="6">NORMSDIST(C9)</f>
        <v>0.70884031321165364</v>
      </c>
      <c r="D11" s="14">
        <f t="shared" si="6"/>
        <v>0.6584855148307418</v>
      </c>
      <c r="E11" s="14">
        <f t="shared" si="6"/>
        <v>0.6368306511756191</v>
      </c>
      <c r="F11" s="14">
        <f t="shared" si="6"/>
        <v>0.62740946415328402</v>
      </c>
      <c r="G11" s="14">
        <f t="shared" si="6"/>
        <v>0.62425172790601247</v>
      </c>
      <c r="H11" s="14">
        <f t="shared" si="6"/>
        <v>0.62470334853983167</v>
      </c>
      <c r="I11" s="14">
        <f t="shared" si="6"/>
        <v>0.62740946415328402</v>
      </c>
      <c r="J11" s="14">
        <f t="shared" si="6"/>
        <v>0.63160646004647802</v>
      </c>
      <c r="K11" s="14">
        <f t="shared" si="6"/>
        <v>0.6368306511756191</v>
      </c>
      <c r="L11" s="14">
        <f t="shared" si="6"/>
        <v>0.64278354373045021</v>
      </c>
      <c r="M11" s="14">
        <f t="shared" si="6"/>
        <v>0.64926368651678124</v>
      </c>
      <c r="N11" s="14">
        <f t="shared" si="6"/>
        <v>0.6561296806630037</v>
      </c>
    </row>
    <row r="12" spans="1:14">
      <c r="A12" s="7" t="s">
        <v>187</v>
      </c>
      <c r="B12" s="14">
        <f>NORMSDIST(B10)</f>
        <v>0.83521987001968956</v>
      </c>
      <c r="C12" s="14">
        <f t="shared" si="6"/>
        <v>0.67364477971208003</v>
      </c>
      <c r="D12" s="14">
        <f t="shared" si="6"/>
        <v>0.6019251685894631</v>
      </c>
      <c r="E12" s="14">
        <f t="shared" si="6"/>
        <v>0.5596176923702425</v>
      </c>
      <c r="F12" s="14">
        <f t="shared" si="6"/>
        <v>0.52989264405289482</v>
      </c>
      <c r="G12" s="14">
        <f t="shared" si="6"/>
        <v>0.50664873019368262</v>
      </c>
      <c r="H12" s="14">
        <f t="shared" si="6"/>
        <v>0.48717906299767211</v>
      </c>
      <c r="I12" s="14">
        <f t="shared" si="6"/>
        <v>0.47010735594710523</v>
      </c>
      <c r="J12" s="14">
        <f t="shared" si="6"/>
        <v>0.45466293681864178</v>
      </c>
      <c r="K12" s="14">
        <f t="shared" si="6"/>
        <v>0.4403823076297575</v>
      </c>
      <c r="L12" s="14">
        <f t="shared" si="6"/>
        <v>0.42697106904804455</v>
      </c>
      <c r="M12" s="14">
        <f t="shared" si="6"/>
        <v>0.41423406353047521</v>
      </c>
      <c r="N12" s="14">
        <f t="shared" si="6"/>
        <v>0.40203744516774953</v>
      </c>
    </row>
  </sheetData>
  <phoneticPr fontId="6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8"/>
  <sheetViews>
    <sheetView workbookViewId="0">
      <selection activeCell="B10" sqref="B10"/>
    </sheetView>
  </sheetViews>
  <sheetFormatPr defaultRowHeight="12.75"/>
  <cols>
    <col min="1" max="1" width="15.7109375" bestFit="1" customWidth="1"/>
    <col min="2" max="2" width="7" customWidth="1"/>
    <col min="3" max="3" width="42.140625" customWidth="1"/>
  </cols>
  <sheetData>
    <row r="1" spans="1:3" ht="18.75">
      <c r="B1" s="20" t="s">
        <v>38</v>
      </c>
      <c r="C1" s="20"/>
    </row>
    <row r="2" spans="1:3" ht="18.75">
      <c r="A2" s="20" t="s">
        <v>175</v>
      </c>
      <c r="B2" s="20"/>
      <c r="C2" s="20"/>
    </row>
    <row r="3" spans="1:3" ht="18.75">
      <c r="A3" s="39" t="s">
        <v>184</v>
      </c>
      <c r="B3" s="20"/>
      <c r="C3" s="20"/>
    </row>
    <row r="4" spans="1:3">
      <c r="A4" t="s">
        <v>239</v>
      </c>
      <c r="B4" s="13">
        <v>100</v>
      </c>
      <c r="C4" s="21" t="s">
        <v>175</v>
      </c>
    </row>
    <row r="5" spans="1:3">
      <c r="A5" t="s">
        <v>233</v>
      </c>
      <c r="B5" s="21">
        <v>100</v>
      </c>
      <c r="C5" s="21" t="s">
        <v>175</v>
      </c>
    </row>
    <row r="6" spans="1:3">
      <c r="A6" s="7" t="s">
        <v>237</v>
      </c>
      <c r="B6" s="22">
        <v>0.06</v>
      </c>
      <c r="C6" s="22" t="s">
        <v>175</v>
      </c>
    </row>
    <row r="7" spans="1:3">
      <c r="A7" s="7" t="s">
        <v>78</v>
      </c>
      <c r="B7" s="22">
        <v>0.02</v>
      </c>
      <c r="C7" s="22"/>
    </row>
    <row r="8" spans="1:3">
      <c r="A8" s="7" t="s">
        <v>185</v>
      </c>
      <c r="B8" s="22">
        <v>0.5</v>
      </c>
      <c r="C8" s="22" t="s">
        <v>175</v>
      </c>
    </row>
    <row r="9" spans="1:3">
      <c r="A9" s="7" t="s">
        <v>235</v>
      </c>
      <c r="B9" s="22">
        <v>1</v>
      </c>
      <c r="C9" s="22" t="s">
        <v>175</v>
      </c>
    </row>
    <row r="10" spans="1:3">
      <c r="A10" s="7"/>
      <c r="B10" s="22"/>
      <c r="C10" s="22"/>
    </row>
    <row r="11" spans="1:3" ht="15">
      <c r="A11" s="39" t="s">
        <v>188</v>
      </c>
      <c r="B11" s="22"/>
      <c r="C11" s="22"/>
    </row>
    <row r="12" spans="1:3">
      <c r="A12" s="7" t="s">
        <v>236</v>
      </c>
      <c r="B12" s="14">
        <f>B4*B17*EXP(-B7*B9)-B5*B18*EXP(-B6*B9)</f>
        <v>20.952110973366345</v>
      </c>
      <c r="C12" s="14" t="s">
        <v>79</v>
      </c>
    </row>
    <row r="13" spans="1:3">
      <c r="A13" t="s">
        <v>240</v>
      </c>
      <c r="B13" s="3">
        <f>IF(B4&gt;B5,B4-B5,0)</f>
        <v>0</v>
      </c>
      <c r="C13" s="3" t="s">
        <v>39</v>
      </c>
    </row>
    <row r="15" spans="1:3">
      <c r="A15" s="7" t="s">
        <v>176</v>
      </c>
      <c r="B15" s="14">
        <f>(LN(B4/B5)+(B6-B7+B8^2/2)*B9)/(B8*SQRT(B9))</f>
        <v>0.32999999999999996</v>
      </c>
      <c r="C15" s="14" t="s">
        <v>80</v>
      </c>
    </row>
    <row r="16" spans="1:3">
      <c r="A16" s="7" t="s">
        <v>177</v>
      </c>
      <c r="B16" s="14">
        <f>B15-B8*SQRT(B9)</f>
        <v>-0.17000000000000004</v>
      </c>
      <c r="C16" s="14" t="s">
        <v>81</v>
      </c>
    </row>
    <row r="17" spans="1:3">
      <c r="A17" s="7" t="s">
        <v>186</v>
      </c>
      <c r="B17" s="14">
        <f>NORMSDIST(B15)</f>
        <v>0.62930001894065346</v>
      </c>
      <c r="C17" s="14" t="s">
        <v>180</v>
      </c>
    </row>
    <row r="18" spans="1:3">
      <c r="A18" s="7" t="s">
        <v>187</v>
      </c>
      <c r="B18" s="14">
        <f>NORMSDIST(B16)</f>
        <v>0.43250506832496155</v>
      </c>
      <c r="C18" s="14" t="s">
        <v>181</v>
      </c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GUIDE</vt:lpstr>
      <vt:lpstr>INTRINSIC CALL</vt:lpstr>
      <vt:lpstr>CALL OPTION</vt:lpstr>
      <vt:lpstr>BINOMIAL_CALL</vt:lpstr>
      <vt:lpstr>BINOMIAL_PUT</vt:lpstr>
      <vt:lpstr>BINOMIAL_CALL_PUT</vt:lpstr>
      <vt:lpstr>CALL_TIME</vt:lpstr>
      <vt:lpstr>CALL_VOLATILITY</vt:lpstr>
      <vt:lpstr>BLACK_SCHOLES</vt:lpstr>
      <vt:lpstr>DEFERRAL</vt:lpstr>
      <vt:lpstr>GROWTH</vt:lpstr>
      <vt:lpstr>EXCHANGE</vt:lpstr>
      <vt:lpstr>HEDGING1</vt:lpstr>
      <vt:lpstr>STRATEGY1</vt:lpstr>
      <vt:lpstr>STRATEGY2</vt:lpstr>
      <vt:lpstr>STRATEGY3</vt:lpstr>
      <vt:lpstr>STRATEGY4</vt:lpstr>
      <vt:lpstr>Protect</vt:lpstr>
      <vt:lpstr>STRATEGY5</vt:lpstr>
      <vt:lpstr>RENOVATION</vt:lpstr>
      <vt:lpstr>RENOVATION_REQD</vt:lpstr>
      <vt:lpstr>SHARING</vt:lpstr>
      <vt:lpstr>SAMUELSON1</vt:lpstr>
      <vt:lpstr>SAMUELSON2</vt:lpstr>
      <vt:lpstr>VOLATILITY</vt:lpstr>
      <vt:lpstr>DELTA,GAMMA</vt:lpstr>
      <vt:lpstr>AMER_PERP</vt:lpstr>
      <vt:lpstr>Tourinho</vt:lpstr>
      <vt:lpstr>Sheet2</vt:lpstr>
    </vt:vector>
  </TitlesOfParts>
  <Company>Manchester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Paxson</dc:creator>
  <cp:lastModifiedBy>Dean</cp:lastModifiedBy>
  <cp:lastPrinted>2019-01-08T23:38:14Z</cp:lastPrinted>
  <dcterms:created xsi:type="dcterms:W3CDTF">1998-12-09T15:08:54Z</dcterms:created>
  <dcterms:modified xsi:type="dcterms:W3CDTF">2019-02-15T16:12:39Z</dcterms:modified>
</cp:coreProperties>
</file>